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Q:\Col-Philadelphia Research and Policy Initiative\Issue - State of the City\State of 10 Cities\"/>
    </mc:Choice>
  </mc:AlternateContent>
  <xr:revisionPtr revIDLastSave="0" documentId="13_ncr:1_{9109D2E0-6666-4A57-89FC-CFCE8965B34D}" xr6:coauthVersionLast="36" xr6:coauthVersionMax="36" xr10:uidLastSave="{00000000-0000-0000-0000-000000000000}"/>
  <bookViews>
    <workbookView xWindow="0" yWindow="0" windowWidth="28800" windowHeight="11625" tabRatio="884" xr2:uid="{3B82E463-752A-417C-88B1-49A8D555726D}"/>
  </bookViews>
  <sheets>
    <sheet name="Cover Sheet" sheetId="15" r:id="rId1"/>
    <sheet name="Population" sheetId="14" r:id="rId2"/>
    <sheet name="Foreign-born" sheetId="5" r:id="rId3"/>
    <sheet name="Median household income" sheetId="6" r:id="rId4"/>
    <sheet name="Poverty" sheetId="12" r:id="rId5"/>
    <sheet name="Deep poverty" sheetId="11" r:id="rId6"/>
    <sheet name="Unemployment" sheetId="2" r:id="rId7"/>
    <sheet name="Labor force participation" sheetId="7" r:id="rId8"/>
    <sheet name="Disability" sheetId="1" r:id="rId9"/>
    <sheet name="College graduates" sheetId="10" r:id="rId10"/>
    <sheet name="Preschool enrollment" sheetId="8" r:id="rId11"/>
    <sheet name="Homeownership" sheetId="4" r:id="rId12"/>
    <sheet name="Housing-cost burdened" sheetId="9" r:id="rId13"/>
    <sheet name="Commute by public transit" sheetId="3" r:id="rId14"/>
    <sheet name="Homicides" sheetId="13" r:id="rId15"/>
  </sheets>
  <definedNames>
    <definedName name="_xlnm._FilterDatabase" localSheetId="2" hidden="1">'Foreign-born'!$A$8:$Z$8</definedName>
    <definedName name="_xlnm._FilterDatabase" localSheetId="12" hidden="1">'Housing-cost burdened'!$A$8:$Z$8</definedName>
    <definedName name="_xlnm._FilterDatabase" localSheetId="7" hidden="1">'Labor force participation'!$A$8:$Z$8</definedName>
    <definedName name="_xlnm._FilterDatabase" localSheetId="3" hidden="1">'Median household income'!$A$8:$Z$8</definedName>
    <definedName name="_xlnm._FilterDatabase" localSheetId="10" hidden="1">'Preschool enrollment'!$A$8:$Z$8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7" i="14" l="1"/>
  <c r="Q17" i="14"/>
  <c r="P17" i="14"/>
  <c r="R16" i="14"/>
  <c r="Q16" i="14"/>
  <c r="P16" i="14"/>
  <c r="R15" i="14"/>
  <c r="Q15" i="14"/>
  <c r="P15" i="14"/>
  <c r="R14" i="14"/>
  <c r="Q14" i="14"/>
  <c r="P14" i="14"/>
  <c r="R13" i="14"/>
  <c r="Q13" i="14"/>
  <c r="P13" i="14"/>
  <c r="R12" i="14"/>
  <c r="Q12" i="14"/>
  <c r="P12" i="14"/>
  <c r="R11" i="14"/>
  <c r="Q11" i="14"/>
  <c r="P11" i="14"/>
  <c r="P10" i="14"/>
  <c r="O10" i="14"/>
  <c r="R10" i="14" s="1"/>
  <c r="N10" i="14"/>
  <c r="Q10" i="14" s="1"/>
  <c r="M10" i="14"/>
  <c r="R9" i="14"/>
  <c r="Q9" i="14"/>
  <c r="P9" i="14"/>
  <c r="R8" i="14"/>
  <c r="Q8" i="14"/>
  <c r="P8" i="14"/>
  <c r="B18" i="11" l="1"/>
  <c r="C18" i="11"/>
  <c r="D18" i="11"/>
  <c r="E18" i="11"/>
  <c r="F18" i="11"/>
  <c r="G18" i="11"/>
  <c r="H18" i="11"/>
  <c r="I18" i="11"/>
  <c r="J18" i="11"/>
  <c r="K18" i="11"/>
  <c r="B17" i="11"/>
  <c r="C17" i="11"/>
  <c r="D17" i="11"/>
  <c r="E17" i="11"/>
  <c r="F17" i="11"/>
  <c r="G17" i="11"/>
  <c r="H17" i="11"/>
  <c r="I17" i="11"/>
  <c r="J17" i="11"/>
  <c r="K17" i="11"/>
  <c r="B16" i="11"/>
  <c r="C16" i="11"/>
  <c r="D16" i="11"/>
  <c r="E16" i="11"/>
  <c r="F16" i="11"/>
  <c r="G16" i="11"/>
  <c r="H16" i="11"/>
  <c r="I16" i="11"/>
  <c r="J16" i="11"/>
  <c r="K16" i="11"/>
  <c r="B15" i="11"/>
  <c r="C15" i="11"/>
  <c r="D15" i="11"/>
  <c r="E15" i="11"/>
  <c r="F15" i="11"/>
  <c r="G15" i="11"/>
  <c r="H15" i="11"/>
  <c r="I15" i="11"/>
  <c r="J15" i="11"/>
  <c r="B14" i="11"/>
  <c r="C14" i="11"/>
  <c r="D14" i="11"/>
  <c r="E14" i="11"/>
  <c r="F14" i="11"/>
  <c r="G14" i="11"/>
  <c r="H14" i="11"/>
  <c r="I14" i="11"/>
  <c r="J14" i="11"/>
  <c r="K14" i="11"/>
  <c r="B13" i="11"/>
  <c r="C13" i="11"/>
  <c r="D13" i="11"/>
  <c r="E13" i="11"/>
  <c r="F13" i="11"/>
  <c r="G13" i="11"/>
  <c r="H13" i="11"/>
  <c r="I13" i="11"/>
  <c r="J13" i="11"/>
  <c r="K13" i="11"/>
  <c r="B12" i="11"/>
  <c r="C12" i="11"/>
  <c r="D12" i="11"/>
  <c r="E12" i="11"/>
  <c r="F12" i="11"/>
  <c r="G12" i="11"/>
  <c r="H12" i="11"/>
  <c r="I12" i="11"/>
  <c r="J12" i="11"/>
  <c r="K12" i="11"/>
  <c r="B11" i="11"/>
  <c r="C11" i="11"/>
  <c r="D11" i="11"/>
  <c r="E11" i="11"/>
  <c r="F11" i="11"/>
  <c r="G11" i="11"/>
  <c r="H11" i="11"/>
  <c r="I11" i="11"/>
  <c r="J11" i="11"/>
  <c r="K11" i="11"/>
  <c r="B10" i="11"/>
  <c r="C10" i="11"/>
  <c r="D10" i="11"/>
  <c r="E10" i="11"/>
  <c r="F10" i="11"/>
  <c r="G10" i="11"/>
  <c r="H10" i="11"/>
  <c r="I10" i="11"/>
  <c r="J10" i="11"/>
  <c r="K10" i="11"/>
  <c r="B9" i="11"/>
  <c r="C9" i="11"/>
  <c r="D9" i="11"/>
  <c r="E9" i="11"/>
  <c r="F9" i="11"/>
  <c r="G9" i="11"/>
  <c r="H9" i="11"/>
  <c r="I9" i="11"/>
  <c r="J9" i="11"/>
  <c r="K9" i="11"/>
  <c r="B18" i="4" l="1"/>
  <c r="B17" i="4"/>
  <c r="B16" i="4"/>
  <c r="B15" i="4"/>
  <c r="B14" i="4"/>
  <c r="B13" i="4"/>
  <c r="B12" i="4"/>
  <c r="B11" i="4"/>
  <c r="B10" i="4"/>
  <c r="B9" i="4"/>
  <c r="C18" i="4"/>
  <c r="C17" i="4"/>
  <c r="C16" i="4"/>
  <c r="C15" i="4"/>
  <c r="C14" i="4"/>
  <c r="C13" i="4"/>
  <c r="C12" i="4"/>
  <c r="C11" i="4"/>
  <c r="C10" i="4"/>
  <c r="C9" i="4"/>
  <c r="D18" i="4"/>
  <c r="D17" i="4"/>
  <c r="D16" i="4"/>
  <c r="D15" i="4"/>
  <c r="D14" i="4"/>
  <c r="D13" i="4"/>
  <c r="D12" i="4"/>
  <c r="D11" i="4"/>
  <c r="D10" i="4"/>
  <c r="D9" i="4"/>
  <c r="E18" i="4"/>
  <c r="E17" i="4"/>
  <c r="E16" i="4"/>
  <c r="E15" i="4"/>
  <c r="E14" i="4"/>
  <c r="E13" i="4"/>
  <c r="E12" i="4"/>
  <c r="E11" i="4"/>
  <c r="E10" i="4"/>
  <c r="E9" i="4"/>
  <c r="F18" i="4"/>
  <c r="F17" i="4"/>
  <c r="F16" i="4"/>
  <c r="F15" i="4"/>
  <c r="F14" i="4"/>
  <c r="F13" i="4"/>
  <c r="F12" i="4"/>
  <c r="F11" i="4"/>
  <c r="F10" i="4"/>
  <c r="F9" i="4"/>
  <c r="G18" i="4"/>
  <c r="G17" i="4"/>
  <c r="G16" i="4"/>
  <c r="G15" i="4"/>
  <c r="G14" i="4"/>
  <c r="G13" i="4"/>
  <c r="G12" i="4"/>
  <c r="G11" i="4"/>
  <c r="G10" i="4"/>
  <c r="G9" i="4"/>
  <c r="H18" i="4"/>
  <c r="H17" i="4"/>
  <c r="H16" i="4"/>
  <c r="H15" i="4"/>
  <c r="H14" i="4"/>
  <c r="H13" i="4"/>
  <c r="H12" i="4"/>
  <c r="H11" i="4"/>
  <c r="H10" i="4"/>
  <c r="H9" i="4"/>
  <c r="I18" i="4"/>
  <c r="I17" i="4"/>
  <c r="I16" i="4"/>
  <c r="I15" i="4"/>
  <c r="I14" i="4"/>
  <c r="I13" i="4"/>
  <c r="I12" i="4"/>
  <c r="I11" i="4"/>
  <c r="I10" i="4"/>
  <c r="I9" i="4"/>
  <c r="J18" i="4"/>
  <c r="J17" i="4"/>
  <c r="J16" i="4"/>
  <c r="J15" i="4"/>
  <c r="J14" i="4"/>
  <c r="J13" i="4"/>
  <c r="J12" i="4"/>
  <c r="J11" i="4"/>
  <c r="J10" i="4"/>
  <c r="J9" i="4"/>
  <c r="B18" i="3" l="1"/>
  <c r="B17" i="3"/>
  <c r="B16" i="3"/>
  <c r="B15" i="3"/>
  <c r="B14" i="3"/>
  <c r="B13" i="3"/>
  <c r="B12" i="3"/>
  <c r="B11" i="3"/>
  <c r="B10" i="3"/>
  <c r="B9" i="3"/>
  <c r="C18" i="3"/>
  <c r="C17" i="3"/>
  <c r="C16" i="3"/>
  <c r="C15" i="3"/>
  <c r="C14" i="3"/>
  <c r="C13" i="3"/>
  <c r="C11" i="3"/>
  <c r="C10" i="3"/>
  <c r="C12" i="3"/>
  <c r="C9" i="3"/>
  <c r="D18" i="3"/>
  <c r="D17" i="3"/>
  <c r="D16" i="3"/>
  <c r="D15" i="3"/>
  <c r="D14" i="3"/>
  <c r="D13" i="3"/>
  <c r="D11" i="3"/>
  <c r="D10" i="3"/>
  <c r="D12" i="3"/>
  <c r="D9" i="3"/>
  <c r="E18" i="3"/>
  <c r="E17" i="3"/>
  <c r="E16" i="3"/>
  <c r="E15" i="3"/>
  <c r="E14" i="3"/>
  <c r="E13" i="3"/>
  <c r="E11" i="3"/>
  <c r="E10" i="3"/>
  <c r="E12" i="3"/>
  <c r="E9" i="3"/>
  <c r="F18" i="3"/>
  <c r="F17" i="3"/>
  <c r="F16" i="3"/>
  <c r="F15" i="3"/>
  <c r="F14" i="3"/>
  <c r="F13" i="3"/>
  <c r="F11" i="3"/>
  <c r="F10" i="3"/>
  <c r="F12" i="3"/>
  <c r="F9" i="3"/>
  <c r="G18" i="3"/>
  <c r="G17" i="3"/>
  <c r="G16" i="3"/>
  <c r="G15" i="3"/>
  <c r="G14" i="3"/>
  <c r="G13" i="3"/>
  <c r="G11" i="3"/>
  <c r="G10" i="3"/>
  <c r="G12" i="3"/>
  <c r="G9" i="3"/>
  <c r="H18" i="3"/>
  <c r="H17" i="3"/>
  <c r="H16" i="3"/>
  <c r="H15" i="3"/>
  <c r="H14" i="3"/>
  <c r="H13" i="3"/>
  <c r="H11" i="3"/>
  <c r="H10" i="3"/>
  <c r="H12" i="3"/>
  <c r="H9" i="3"/>
  <c r="I18" i="3"/>
  <c r="I17" i="3"/>
  <c r="I16" i="3"/>
  <c r="I15" i="3"/>
  <c r="I14" i="3"/>
  <c r="I13" i="3"/>
  <c r="I11" i="3"/>
  <c r="I10" i="3"/>
  <c r="I12" i="3"/>
  <c r="I9" i="3"/>
  <c r="J18" i="3"/>
  <c r="J17" i="3"/>
  <c r="J16" i="3"/>
  <c r="J15" i="3"/>
  <c r="J14" i="3"/>
  <c r="J13" i="3"/>
  <c r="J11" i="3"/>
  <c r="J10" i="3"/>
  <c r="K12" i="3"/>
  <c r="J12" i="3"/>
  <c r="J9" i="3"/>
  <c r="K18" i="3"/>
  <c r="K17" i="3"/>
  <c r="K15" i="3"/>
  <c r="K14" i="3"/>
  <c r="K13" i="3"/>
  <c r="K11" i="3"/>
  <c r="K10" i="3"/>
  <c r="K9" i="3"/>
</calcChain>
</file>

<file path=xl/sharedStrings.xml><?xml version="1.0" encoding="utf-8"?>
<sst xmlns="http://schemas.openxmlformats.org/spreadsheetml/2006/main" count="1200" uniqueCount="77">
  <si>
    <t>Washington</t>
  </si>
  <si>
    <t>Phoenix</t>
  </si>
  <si>
    <t>Chicago</t>
  </si>
  <si>
    <t>Baltimore</t>
  </si>
  <si>
    <t>Boston</t>
  </si>
  <si>
    <t>Detroit</t>
  </si>
  <si>
    <t>Cleveland</t>
  </si>
  <si>
    <t>Philadelphia</t>
  </si>
  <si>
    <t>Pittsburgh</t>
  </si>
  <si>
    <t>Houston</t>
  </si>
  <si>
    <t>N/A</t>
  </si>
  <si>
    <t>35 to 64</t>
  </si>
  <si>
    <t>65+</t>
  </si>
  <si>
    <t>White, non-Hispanic</t>
  </si>
  <si>
    <t>Black</t>
  </si>
  <si>
    <t>Hispanic</t>
  </si>
  <si>
    <t>Asian</t>
  </si>
  <si>
    <t>&lt;35</t>
  </si>
  <si>
    <t>The Pew Charitable Trusts</t>
  </si>
  <si>
    <t>Philadelphia Research and Policy Initiative</t>
  </si>
  <si>
    <t>https://pewtrusts.org/10cities</t>
  </si>
  <si>
    <t>The State of 10 Cities</t>
  </si>
  <si>
    <t>Percentage of civilian noninstitutionalized population with a disability</t>
  </si>
  <si>
    <t>Notes:</t>
  </si>
  <si>
    <t>Source:</t>
  </si>
  <si>
    <t>U.S. Census Bureau, American Community Survey, one-year estimates, 2008-18, Table S1810 (Disability Characteristics), available at data.census.gov</t>
  </si>
  <si>
    <t>In September 2019, the U.S. Census Bureau identified an error in its 2017 data for Philadelphia. The error affects all indicators in this interactive except unemployment rate, homicide rate, and population. The affected graphs do not display 2017 data.</t>
  </si>
  <si>
    <t>Sources:</t>
  </si>
  <si>
    <t>Methodology:</t>
  </si>
  <si>
    <t>Contact:</t>
  </si>
  <si>
    <t>Email:</t>
  </si>
  <si>
    <t>Phone:</t>
  </si>
  <si>
    <t>© 2020 The Pew Charitable Trusts</t>
  </si>
  <si>
    <t>Percentage of population 16 years and older in the labor force (employed or unemployed and looking for work)</t>
  </si>
  <si>
    <t>U.S. Census Bureau, American Community Survey, one-year estimates, 2008-18, Table B23025 (Employment Status), available at data.census.gov</t>
  </si>
  <si>
    <t>College Graduates, 2008-18</t>
  </si>
  <si>
    <t>Percentage of adults (25 years or older) with a bachelor’s degree or higher</t>
  </si>
  <si>
    <t>U.S. Census Bureau, American Community Survey, one-year estimates, 2008-18, Table S1501 (Educational Attainment), available at data.census.gov</t>
  </si>
  <si>
    <t>Preschool Enrollment, 2008-18</t>
  </si>
  <si>
    <t>Percentage of 3- and 4-year-olds enrolled in school</t>
  </si>
  <si>
    <t>U.S. Census Bureau, American Community Survey, one-year estimates, 2008-18, Table S1401 (School Enrollment), available at data.census.gov</t>
  </si>
  <si>
    <t>Homeownership, 2008-18</t>
  </si>
  <si>
    <t>Percentage of residential units occupied by homeowners</t>
  </si>
  <si>
    <t>U.S. Census Bureau, American Community Survey, one-year estimates, 2008-18, Table B25003 (Tenure), available at data.census.gov</t>
  </si>
  <si>
    <t>Housing-Cost Burdened, 2008-18</t>
  </si>
  <si>
    <t>Percentage of residents paying at least 30 percent of income in rent</t>
  </si>
  <si>
    <t>U.S. Census Bureau, American Community Survey, one-year estimates, 2008-18, Table B25070 (Gross Rent as a Percentage of Household Income in the Past 12 Months), available at data.census.gov</t>
  </si>
  <si>
    <t>Commute by Public Transit, 2008-18</t>
  </si>
  <si>
    <t>Percentage of population using public transit to travel to work</t>
  </si>
  <si>
    <t>U.S. Census Bureau, American Community Survey, one-year estimates, 2008-18, Table S0801 (Commuting Characteristics by Sex), available at data.census.gov</t>
  </si>
  <si>
    <t>Homicides, 2008-18</t>
  </si>
  <si>
    <t>Homicides per 100,000 residents</t>
  </si>
  <si>
    <t>Police departments of all 10 cities (2017-2018); Federal Bureau of Investigation Uniform Crime Reporting (2008-16); population numbers drawn from U.S. Census Bureau, American Community Survey, one-year estimates, 2008-18, Table B01003 (Total Population)</t>
  </si>
  <si>
    <t>Disability, 2008-18</t>
  </si>
  <si>
    <t>Labor Force Participation, 2008-18</t>
  </si>
  <si>
    <t>Unemployment, 2008-18</t>
  </si>
  <si>
    <t>Percentage of unemployed workers in the labor force</t>
  </si>
  <si>
    <t>U.S. Bureau of Labor Statistics, Local Area Unemployment Statistics</t>
  </si>
  <si>
    <t>Deep Poverty, 2008-18</t>
  </si>
  <si>
    <t>Percentage of population with incomes no more than half of the federal poverty threshold</t>
  </si>
  <si>
    <t>U.S. Census Bureau, American Community Survey, one-year estimates, 2008-18, Table B17002 (Ratio of Income to Poverty Level in the Past 12 Months), available at data.census.gov</t>
  </si>
  <si>
    <t>Poverty, 2008-18</t>
  </si>
  <si>
    <t>Percentage of population with income in the past 12 months below poverty level</t>
  </si>
  <si>
    <t>U.S. Census Bureau, American Community Survey, one-year estimates, 2008-18, Table S1701 (Poverty Status in the Past 12 Months), available at data.census.gov</t>
  </si>
  <si>
    <t>Median Household Income, 2008-18</t>
  </si>
  <si>
    <t>Combined household income in the past 12 months</t>
  </si>
  <si>
    <t>U.S. Census Bureau, American Community Survey, one-year estimates, 2008-18, Table B19013 (Median Household Income in the Past 12 Months), available at data.census.gov</t>
  </si>
  <si>
    <t>Foreign-Born, 2008-18</t>
  </si>
  <si>
    <t>Percentage of residents born outside the U.S.</t>
  </si>
  <si>
    <t>U.S. Census Bureau, American Community Survey, one-year estimates, 2008-18, Table B05002 (Place of Birth by Citizenship Status), available at data.census.gov</t>
  </si>
  <si>
    <t>Population, 2008-18</t>
  </si>
  <si>
    <t>U.S. Census Bureau, “2000-2010 Intercensal Estimates;” U.S. Census Bureau, “Population and Housing Unit Estimates,” 2011-18, available at data.census.gov</t>
  </si>
  <si>
    <t>Philaresearch@pewtrusts.org</t>
  </si>
  <si>
    <t xml:space="preserve">Data for this analysis relies primarily on the U.S. Census Bureau, which provides city-level data both over time and disaggregated by age and race. </t>
  </si>
  <si>
    <t>Katie Martin, senior manager</t>
  </si>
  <si>
    <t>215-575-4754</t>
  </si>
  <si>
    <t>Pew's calculations using data from the U.S. Census Bureau American Community Survey, U.S. Bureau of Labor Statistics, and the Federal Bureau of Investigation Uniform Crime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</si>
</sst>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_(* #,##0_);_(* \(#,##0\);_(* &quot;-&quot;??_);_(@_)"/>
  </numFmts>
  <fonts count="8" x14ac:knownFonts="1">
    <font>
      <sz val="11"/>
      <color theme="1"/>
      <name val="Calibri"/>
      <family val="2"/>
      <scheme val="minor"/>
    </font>
    <font>
      <sz val="11"/>
      <color theme="1"/>
      <name val="Calibri"/>
      <family val="2"/>
      <scheme val="minor"/>
    </font>
    <font>
      <i/>
      <sz val="11"/>
      <color theme="0" tint="-0.249977111117893"/>
      <name val="Calibri"/>
      <family val="2"/>
      <scheme val="minor"/>
    </font>
    <font>
      <sz val="11"/>
      <name val="Calibri"/>
      <family val="2"/>
      <scheme val="minor"/>
    </font>
    <font>
      <b/>
      <sz val="11"/>
      <color theme="1"/>
      <name val="Calibri"/>
      <family val="2"/>
      <scheme val="minor"/>
    </font>
    <font>
      <u/>
      <sz val="11"/>
      <color theme="10"/>
      <name val="Calibri"/>
      <family val="2"/>
      <scheme val="minor"/>
    </font>
    <font>
      <sz val="11"/>
      <color theme="1"/>
      <name val="Arial"/>
      <family val="2"/>
    </font>
    <font>
      <sz val="10"/>
      <color theme="1"/>
      <name val="Arial"/>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cellStyleXfs>
  <cellXfs count="48">
    <xf numFmtId="0" fontId="0" fillId="0" borderId="0" xfId="0"/>
    <xf numFmtId="164" fontId="0" fillId="0" borderId="0" xfId="1" applyNumberFormat="1" applyFont="1"/>
    <xf numFmtId="0" fontId="0" fillId="0" borderId="0" xfId="0" applyFill="1"/>
    <xf numFmtId="0" fontId="0" fillId="0" borderId="0" xfId="0" applyFill="1" applyAlignment="1">
      <alignment horizontal="right"/>
    </xf>
    <xf numFmtId="164" fontId="0" fillId="0" borderId="0" xfId="1" applyNumberFormat="1" applyFont="1" applyFill="1"/>
    <xf numFmtId="0" fontId="3" fillId="0" borderId="0" xfId="0" applyFont="1" applyFill="1"/>
    <xf numFmtId="3" fontId="0" fillId="0" borderId="0" xfId="0" applyNumberFormat="1"/>
    <xf numFmtId="0" fontId="4" fillId="0" borderId="0" xfId="0" applyFont="1"/>
    <xf numFmtId="0" fontId="5" fillId="0" borderId="0" xfId="4"/>
    <xf numFmtId="0" fontId="0" fillId="0" borderId="1" xfId="0" applyBorder="1"/>
    <xf numFmtId="0" fontId="0" fillId="0" borderId="1" xfId="0" applyFill="1" applyBorder="1"/>
    <xf numFmtId="0" fontId="0" fillId="0" borderId="1" xfId="0" applyFill="1" applyBorder="1" applyAlignment="1">
      <alignment horizontal="right"/>
    </xf>
    <xf numFmtId="167" fontId="0" fillId="0" borderId="1" xfId="3" applyNumberFormat="1" applyFont="1" applyFill="1" applyBorder="1"/>
    <xf numFmtId="0" fontId="0" fillId="0" borderId="2" xfId="0" applyBorder="1"/>
    <xf numFmtId="0" fontId="0" fillId="0" borderId="3" xfId="0" applyBorder="1"/>
    <xf numFmtId="164" fontId="0" fillId="0" borderId="4" xfId="1" applyNumberFormat="1" applyFont="1" applyBorder="1"/>
    <xf numFmtId="164" fontId="0" fillId="0" borderId="5" xfId="1" applyNumberFormat="1" applyFont="1" applyBorder="1"/>
    <xf numFmtId="164" fontId="0" fillId="0" borderId="4" xfId="1" applyNumberFormat="1" applyFont="1" applyFill="1" applyBorder="1"/>
    <xf numFmtId="167" fontId="0" fillId="0" borderId="4" xfId="3" applyNumberFormat="1" applyFont="1" applyFill="1" applyBorder="1"/>
    <xf numFmtId="164" fontId="0" fillId="0" borderId="4" xfId="0" applyNumberFormat="1" applyFill="1" applyBorder="1"/>
    <xf numFmtId="164" fontId="0" fillId="0" borderId="5" xfId="1" applyNumberFormat="1" applyFont="1" applyFill="1" applyBorder="1"/>
    <xf numFmtId="167" fontId="0" fillId="0" borderId="5" xfId="3" applyNumberFormat="1" applyFont="1" applyFill="1" applyBorder="1"/>
    <xf numFmtId="164" fontId="0" fillId="0" borderId="5" xfId="0" applyNumberFormat="1" applyFill="1" applyBorder="1"/>
    <xf numFmtId="0" fontId="0" fillId="0" borderId="0" xfId="0" applyAlignment="1">
      <alignment wrapText="1"/>
    </xf>
    <xf numFmtId="0" fontId="7" fillId="0" borderId="0" xfId="5" applyFont="1"/>
    <xf numFmtId="0" fontId="0" fillId="0" borderId="4" xfId="0" applyBorder="1"/>
    <xf numFmtId="164" fontId="3" fillId="0" borderId="4" xfId="0" applyNumberFormat="1" applyFont="1" applyFill="1" applyBorder="1"/>
    <xf numFmtId="164" fontId="2" fillId="0" borderId="4" xfId="0" applyNumberFormat="1" applyFont="1" applyFill="1" applyBorder="1" applyAlignment="1">
      <alignment horizontal="right"/>
    </xf>
    <xf numFmtId="167" fontId="3" fillId="0" borderId="4" xfId="3" applyNumberFormat="1" applyFont="1" applyFill="1" applyBorder="1"/>
    <xf numFmtId="0" fontId="0" fillId="0" borderId="5" xfId="0" applyBorder="1"/>
    <xf numFmtId="164" fontId="3" fillId="0" borderId="5" xfId="0" applyNumberFormat="1" applyFont="1" applyFill="1" applyBorder="1"/>
    <xf numFmtId="167" fontId="3" fillId="0" borderId="5" xfId="3" applyNumberFormat="1" applyFont="1" applyFill="1" applyBorder="1"/>
    <xf numFmtId="167" fontId="0" fillId="0" borderId="4" xfId="3" applyNumberFormat="1" applyFont="1" applyBorder="1"/>
    <xf numFmtId="167" fontId="0" fillId="0" borderId="5" xfId="3" applyNumberFormat="1" applyFont="1" applyBorder="1"/>
    <xf numFmtId="0" fontId="0" fillId="0" borderId="0" xfId="0" applyBorder="1"/>
    <xf numFmtId="164" fontId="2" fillId="0" borderId="5" xfId="0" applyNumberFormat="1" applyFont="1" applyFill="1" applyBorder="1" applyAlignment="1">
      <alignment horizontal="right"/>
    </xf>
    <xf numFmtId="0" fontId="0" fillId="0" borderId="1" xfId="0" applyBorder="1" applyAlignment="1">
      <alignment horizontal="right"/>
    </xf>
    <xf numFmtId="166" fontId="0" fillId="0" borderId="4" xfId="1" applyNumberFormat="1" applyFont="1" applyBorder="1"/>
    <xf numFmtId="166" fontId="0" fillId="0" borderId="4" xfId="0" applyNumberFormat="1" applyBorder="1"/>
    <xf numFmtId="166" fontId="0" fillId="0" borderId="5" xfId="1" applyNumberFormat="1" applyFont="1" applyBorder="1"/>
    <xf numFmtId="166" fontId="0" fillId="0" borderId="5" xfId="0" applyNumberFormat="1" applyBorder="1"/>
    <xf numFmtId="165" fontId="0" fillId="0" borderId="4" xfId="2" applyNumberFormat="1" applyFont="1" applyBorder="1"/>
    <xf numFmtId="165" fontId="0" fillId="0" borderId="4" xfId="2" applyNumberFormat="1" applyFont="1" applyFill="1" applyBorder="1"/>
    <xf numFmtId="165" fontId="0" fillId="0" borderId="5" xfId="2" applyNumberFormat="1" applyFont="1" applyBorder="1"/>
    <xf numFmtId="165" fontId="0" fillId="0" borderId="5" xfId="2" applyNumberFormat="1" applyFont="1" applyFill="1" applyBorder="1"/>
    <xf numFmtId="0" fontId="0" fillId="0" borderId="0" xfId="0" applyAlignment="1">
      <alignment wrapText="1"/>
    </xf>
    <xf numFmtId="0" fontId="4" fillId="0" borderId="0" xfId="0" applyFont="1" applyAlignment="1">
      <alignment vertical="top"/>
    </xf>
    <xf numFmtId="0" fontId="4" fillId="0" borderId="0" xfId="0" applyFont="1" applyAlignment="1">
      <alignment horizontal="left" vertical="top"/>
    </xf>
  </cellXfs>
  <cellStyles count="6">
    <cellStyle name="Comma" xfId="3" builtinId="3"/>
    <cellStyle name="Currency" xfId="2" builtinId="4"/>
    <cellStyle name="Hyperlink" xfId="4" builtinId="8"/>
    <cellStyle name="Normal" xfId="0" builtinId="0"/>
    <cellStyle name="Normal 2" xfId="5" xr:uid="{76D04062-E6C7-461E-BF81-60BF3550F02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hilaresearch@pewtrusts.org" TargetMode="External"/><Relationship Id="rId1" Type="http://schemas.openxmlformats.org/officeDocument/2006/relationships/hyperlink" Target="https://pewtrusts.org/10cities"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ewtrusts.org/10c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ewtrusts.org/10citie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pewtrusts.org/10cit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ewtrusts.org/10cit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ewtrusts.org/10c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D5040-3C92-439F-BD6D-A860102854C5}">
  <dimension ref="A1:B16"/>
  <sheetViews>
    <sheetView tabSelected="1" workbookViewId="0">
      <selection activeCell="D9" sqref="D9"/>
    </sheetView>
  </sheetViews>
  <sheetFormatPr defaultRowHeight="15" x14ac:dyDescent="0.25"/>
  <cols>
    <col min="1" max="1" width="39.42578125" bestFit="1" customWidth="1"/>
    <col min="2" max="2" width="54" customWidth="1"/>
  </cols>
  <sheetData>
    <row r="1" spans="1:2" x14ac:dyDescent="0.25">
      <c r="A1" s="7" t="s">
        <v>18</v>
      </c>
    </row>
    <row r="2" spans="1:2" x14ac:dyDescent="0.25">
      <c r="A2" s="7" t="s">
        <v>19</v>
      </c>
    </row>
    <row r="3" spans="1:2" x14ac:dyDescent="0.25">
      <c r="A3" s="8" t="s">
        <v>20</v>
      </c>
    </row>
    <row r="4" spans="1:2" x14ac:dyDescent="0.25">
      <c r="A4" s="7" t="s">
        <v>21</v>
      </c>
    </row>
    <row r="6" spans="1:2" ht="46.5" customHeight="1" x14ac:dyDescent="0.25">
      <c r="A6" s="46" t="s">
        <v>27</v>
      </c>
      <c r="B6" s="23" t="s">
        <v>76</v>
      </c>
    </row>
    <row r="8" spans="1:2" ht="45" x14ac:dyDescent="0.25">
      <c r="A8" s="46" t="s">
        <v>28</v>
      </c>
      <c r="B8" s="23" t="s">
        <v>73</v>
      </c>
    </row>
    <row r="10" spans="1:2" ht="75" x14ac:dyDescent="0.25">
      <c r="A10" s="47" t="s">
        <v>23</v>
      </c>
      <c r="B10" s="23" t="s">
        <v>26</v>
      </c>
    </row>
    <row r="12" spans="1:2" x14ac:dyDescent="0.25">
      <c r="A12" s="7" t="s">
        <v>29</v>
      </c>
      <c r="B12" t="s">
        <v>74</v>
      </c>
    </row>
    <row r="13" spans="1:2" x14ac:dyDescent="0.25">
      <c r="A13" s="7" t="s">
        <v>30</v>
      </c>
      <c r="B13" s="8" t="s">
        <v>72</v>
      </c>
    </row>
    <row r="14" spans="1:2" x14ac:dyDescent="0.25">
      <c r="A14" s="7" t="s">
        <v>31</v>
      </c>
      <c r="B14" t="s">
        <v>75</v>
      </c>
    </row>
    <row r="16" spans="1:2" x14ac:dyDescent="0.25">
      <c r="A16" s="24" t="s">
        <v>32</v>
      </c>
    </row>
  </sheetData>
  <hyperlinks>
    <hyperlink ref="A3" r:id="rId1" xr:uid="{B37E8FBC-DC3F-49B7-91F4-922174AE68FF}"/>
    <hyperlink ref="B13" r:id="rId2" xr:uid="{871B0C20-A765-4B65-8AE4-B309BCE24E4C}"/>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3651-FF1B-41BB-8B50-42E8FF504969}">
  <dimension ref="A1:Z24"/>
  <sheetViews>
    <sheetView zoomScale="90" zoomScaleNormal="90" workbookViewId="0">
      <selection activeCell="K15" sqref="K15"/>
    </sheetView>
  </sheetViews>
  <sheetFormatPr defaultRowHeight="15" x14ac:dyDescent="0.25"/>
  <cols>
    <col min="1" max="1" width="15.7109375" customWidth="1"/>
    <col min="13" max="13" width="9.85546875" customWidth="1"/>
    <col min="14" max="14" width="10.28515625" customWidth="1"/>
    <col min="15" max="15" width="10" customWidth="1"/>
    <col min="19" max="19" width="12.85546875" customWidth="1"/>
    <col min="20" max="22" width="10.5703125" bestFit="1" customWidth="1"/>
    <col min="23" max="23" width="10.85546875" customWidth="1"/>
    <col min="24" max="24" width="11" customWidth="1"/>
    <col min="25" max="25" width="10" customWidth="1"/>
    <col min="26" max="26" width="10.285156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35</v>
      </c>
    </row>
    <row r="7" spans="1:26" x14ac:dyDescent="0.25">
      <c r="A7" s="7" t="s">
        <v>36</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0" t="s">
        <v>13</v>
      </c>
      <c r="X8" s="10" t="s">
        <v>14</v>
      </c>
      <c r="Y8" s="10" t="s">
        <v>15</v>
      </c>
      <c r="Z8" s="10" t="s">
        <v>16</v>
      </c>
    </row>
    <row r="9" spans="1:26" x14ac:dyDescent="0.25">
      <c r="A9" s="25" t="s">
        <v>3</v>
      </c>
      <c r="B9" s="15">
        <v>0.247</v>
      </c>
      <c r="C9" s="15">
        <v>0.26100000000000001</v>
      </c>
      <c r="D9" s="15">
        <v>0.24199999999999999</v>
      </c>
      <c r="E9" s="15">
        <v>0.27500000000000002</v>
      </c>
      <c r="F9" s="15">
        <v>0.26900000000000002</v>
      </c>
      <c r="G9" s="15">
        <v>0.28699999999999998</v>
      </c>
      <c r="H9" s="15">
        <v>0.3</v>
      </c>
      <c r="I9" s="15">
        <v>0.29899999999999999</v>
      </c>
      <c r="J9" s="15">
        <v>0.308</v>
      </c>
      <c r="K9" s="15">
        <v>0.30599999999999999</v>
      </c>
      <c r="L9" s="17">
        <v>0.33126294487056906</v>
      </c>
      <c r="M9" s="32">
        <v>52674</v>
      </c>
      <c r="N9" s="18">
        <v>66195</v>
      </c>
      <c r="O9" s="18">
        <v>20758</v>
      </c>
      <c r="P9" s="17">
        <v>0.45800000000000002</v>
      </c>
      <c r="Q9" s="17">
        <v>0.2975443990452688</v>
      </c>
      <c r="R9" s="17">
        <v>0.24691622357825119</v>
      </c>
      <c r="S9" s="17">
        <v>0.594751076067497</v>
      </c>
      <c r="T9" s="17">
        <v>0.17516842355552034</v>
      </c>
      <c r="U9" s="17">
        <v>0.31206027366904882</v>
      </c>
      <c r="V9" s="17">
        <v>0.76782173543574739</v>
      </c>
      <c r="W9" s="28">
        <v>78070</v>
      </c>
      <c r="X9" s="28">
        <v>44202</v>
      </c>
      <c r="Y9" s="28">
        <v>5633</v>
      </c>
      <c r="Z9" s="28">
        <v>8132</v>
      </c>
    </row>
    <row r="10" spans="1:26" x14ac:dyDescent="0.25">
      <c r="A10" s="25" t="s">
        <v>4</v>
      </c>
      <c r="B10" s="15">
        <v>0.42099999999999999</v>
      </c>
      <c r="C10" s="15">
        <v>0.44700000000000001</v>
      </c>
      <c r="D10" s="15">
        <v>0.443</v>
      </c>
      <c r="E10" s="15">
        <v>0.42699999999999999</v>
      </c>
      <c r="F10" s="15">
        <v>0.433</v>
      </c>
      <c r="G10" s="15">
        <v>0.45200000000000001</v>
      </c>
      <c r="H10" s="15">
        <v>0.46500000000000002</v>
      </c>
      <c r="I10" s="15">
        <v>0.46600000000000003</v>
      </c>
      <c r="J10" s="15">
        <v>0.48399999999999999</v>
      </c>
      <c r="K10" s="15">
        <v>0.48199999999999998</v>
      </c>
      <c r="L10" s="17">
        <v>0.5143462923891281</v>
      </c>
      <c r="M10" s="32">
        <v>120021</v>
      </c>
      <c r="N10" s="18">
        <v>101227</v>
      </c>
      <c r="O10" s="18">
        <v>26921</v>
      </c>
      <c r="P10" s="17">
        <v>0.69899999999999995</v>
      </c>
      <c r="Q10" s="17">
        <v>0.44342961775348033</v>
      </c>
      <c r="R10" s="17">
        <v>0.32665566529958501</v>
      </c>
      <c r="S10" s="17">
        <v>0.71103163215042942</v>
      </c>
      <c r="T10" s="17">
        <v>0.24946824406279114</v>
      </c>
      <c r="U10" s="17">
        <v>0.26107600671749087</v>
      </c>
      <c r="V10" s="17">
        <v>0.58240352811466367</v>
      </c>
      <c r="W10" s="28">
        <v>166001</v>
      </c>
      <c r="X10" s="28">
        <v>28383</v>
      </c>
      <c r="Y10" s="28">
        <v>21609</v>
      </c>
      <c r="Z10" s="28">
        <v>26412</v>
      </c>
    </row>
    <row r="11" spans="1:26" x14ac:dyDescent="0.25">
      <c r="A11" s="25" t="s">
        <v>2</v>
      </c>
      <c r="B11" s="15">
        <v>0.311</v>
      </c>
      <c r="C11" s="15">
        <v>0.33100000000000002</v>
      </c>
      <c r="D11" s="15">
        <v>0.33300000000000002</v>
      </c>
      <c r="E11" s="15">
        <v>0.33500000000000002</v>
      </c>
      <c r="F11" s="15">
        <v>0.34499999999999997</v>
      </c>
      <c r="G11" s="15">
        <v>0.35099999999999998</v>
      </c>
      <c r="H11" s="15">
        <v>0.36</v>
      </c>
      <c r="I11" s="15">
        <v>0.36599999999999999</v>
      </c>
      <c r="J11" s="15">
        <v>0.38500000000000001</v>
      </c>
      <c r="K11" s="15">
        <v>0.38800000000000001</v>
      </c>
      <c r="L11" s="17">
        <v>0.39404562307281393</v>
      </c>
      <c r="M11" s="32">
        <v>292731</v>
      </c>
      <c r="N11" s="18">
        <v>363462</v>
      </c>
      <c r="O11" s="18">
        <v>88833</v>
      </c>
      <c r="P11" s="17">
        <v>0.54200000000000004</v>
      </c>
      <c r="Q11" s="17">
        <v>0.36314823992070849</v>
      </c>
      <c r="R11" s="17">
        <v>0.25401759161824589</v>
      </c>
      <c r="S11" s="17">
        <v>0.63936770836722601</v>
      </c>
      <c r="T11" s="17">
        <v>0.21166438925800735</v>
      </c>
      <c r="U11" s="17">
        <v>0.16450401085810093</v>
      </c>
      <c r="V11" s="17">
        <v>0.61644179016441791</v>
      </c>
      <c r="W11" s="28">
        <v>451962</v>
      </c>
      <c r="X11" s="28">
        <v>114782</v>
      </c>
      <c r="Y11" s="28">
        <v>78297</v>
      </c>
      <c r="Z11" s="28">
        <v>83608</v>
      </c>
    </row>
    <row r="12" spans="1:26" x14ac:dyDescent="0.25">
      <c r="A12" s="25" t="s">
        <v>6</v>
      </c>
      <c r="B12" s="15">
        <v>0.13300000000000001</v>
      </c>
      <c r="C12" s="15">
        <v>0.13700000000000001</v>
      </c>
      <c r="D12" s="15">
        <v>0.13300000000000001</v>
      </c>
      <c r="E12" s="15">
        <v>0.14699999999999999</v>
      </c>
      <c r="F12" s="15">
        <v>0.152</v>
      </c>
      <c r="G12" s="15">
        <v>0.16500000000000001</v>
      </c>
      <c r="H12" s="15">
        <v>0.151</v>
      </c>
      <c r="I12" s="15">
        <v>0.16200000000000001</v>
      </c>
      <c r="J12" s="15">
        <v>0.16300000000000001</v>
      </c>
      <c r="K12" s="15">
        <v>0.17</v>
      </c>
      <c r="L12" s="17">
        <v>0.17014200213041514</v>
      </c>
      <c r="M12" s="32">
        <v>14636</v>
      </c>
      <c r="N12" s="18">
        <v>22107</v>
      </c>
      <c r="O12" s="18">
        <v>7661</v>
      </c>
      <c r="P12" s="17">
        <v>0.23300000000000001</v>
      </c>
      <c r="Q12" s="17">
        <v>0.15403535420397299</v>
      </c>
      <c r="R12" s="17">
        <v>0.13996528729332236</v>
      </c>
      <c r="S12" s="17">
        <v>0.28212764719007383</v>
      </c>
      <c r="T12" s="17">
        <v>7.6303963303684025E-2</v>
      </c>
      <c r="U12" s="17">
        <v>5.7249807332379173E-2</v>
      </c>
      <c r="V12" s="17">
        <v>0.39443661069093705</v>
      </c>
      <c r="W12" s="28">
        <v>29082</v>
      </c>
      <c r="X12" s="28">
        <v>9016</v>
      </c>
      <c r="Y12" s="28">
        <v>1560</v>
      </c>
      <c r="Z12" s="28">
        <v>3077</v>
      </c>
    </row>
    <row r="13" spans="1:26" x14ac:dyDescent="0.25">
      <c r="A13" s="25" t="s">
        <v>5</v>
      </c>
      <c r="B13" s="15">
        <v>0.108</v>
      </c>
      <c r="C13" s="15">
        <v>0.124</v>
      </c>
      <c r="D13" s="15">
        <v>0.12</v>
      </c>
      <c r="E13" s="15">
        <v>0.13</v>
      </c>
      <c r="F13" s="15">
        <v>0.13</v>
      </c>
      <c r="G13" s="15">
        <v>0.13</v>
      </c>
      <c r="H13" s="15">
        <v>0.13800000000000001</v>
      </c>
      <c r="I13" s="15">
        <v>0.14199999999999999</v>
      </c>
      <c r="J13" s="15">
        <v>0.14899999999999999</v>
      </c>
      <c r="K13" s="15">
        <v>0.14599999999999999</v>
      </c>
      <c r="L13" s="17">
        <v>0.15462882235601833</v>
      </c>
      <c r="M13" s="32">
        <v>16382</v>
      </c>
      <c r="N13" s="18">
        <v>35701</v>
      </c>
      <c r="O13" s="18">
        <v>15667</v>
      </c>
      <c r="P13" s="17">
        <v>0.161</v>
      </c>
      <c r="Q13" s="17">
        <v>0.14756137885426138</v>
      </c>
      <c r="R13" s="17">
        <v>0.16638876793508853</v>
      </c>
      <c r="S13" s="17">
        <v>0.30615161680925818</v>
      </c>
      <c r="T13" s="17">
        <v>0.13380546539144725</v>
      </c>
      <c r="U13" s="17">
        <v>5.9778064908413774E-2</v>
      </c>
      <c r="V13" s="17">
        <v>0.4473007712082262</v>
      </c>
      <c r="W13" s="28">
        <v>15423</v>
      </c>
      <c r="X13" s="28">
        <v>46252</v>
      </c>
      <c r="Y13" s="28">
        <v>1573</v>
      </c>
      <c r="Z13" s="28">
        <v>2958</v>
      </c>
    </row>
    <row r="14" spans="1:26" x14ac:dyDescent="0.25">
      <c r="A14" s="25" t="s">
        <v>9</v>
      </c>
      <c r="B14" s="15">
        <v>0.28399999999999997</v>
      </c>
      <c r="C14" s="15">
        <v>0.27900000000000003</v>
      </c>
      <c r="D14" s="15">
        <v>0.28899999999999998</v>
      </c>
      <c r="E14" s="15">
        <v>0.28699999999999998</v>
      </c>
      <c r="F14" s="15">
        <v>0.29699999999999999</v>
      </c>
      <c r="G14" s="15">
        <v>0.314</v>
      </c>
      <c r="H14" s="15">
        <v>0.30399999999999999</v>
      </c>
      <c r="I14" s="15">
        <v>0.309</v>
      </c>
      <c r="J14" s="15">
        <v>0.32500000000000001</v>
      </c>
      <c r="K14" s="15">
        <v>0.32700000000000001</v>
      </c>
      <c r="L14" s="17">
        <v>0.32924822706256007</v>
      </c>
      <c r="M14" s="32">
        <v>161566</v>
      </c>
      <c r="N14" s="18">
        <v>262224</v>
      </c>
      <c r="O14" s="18">
        <v>75671</v>
      </c>
      <c r="P14" s="17">
        <v>0.377</v>
      </c>
      <c r="Q14" s="17">
        <v>0.31110035449381418</v>
      </c>
      <c r="R14" s="17">
        <v>0.3078321854697969</v>
      </c>
      <c r="S14" s="17">
        <v>0.60063679139908333</v>
      </c>
      <c r="T14" s="17">
        <v>0.2241209761870919</v>
      </c>
      <c r="U14" s="17">
        <v>0.13381428441271234</v>
      </c>
      <c r="V14" s="17">
        <v>0.61012906732430705</v>
      </c>
      <c r="W14" s="28">
        <v>255425</v>
      </c>
      <c r="X14" s="28">
        <v>77261</v>
      </c>
      <c r="Y14" s="28">
        <v>80779</v>
      </c>
      <c r="Z14" s="28">
        <v>75210</v>
      </c>
    </row>
    <row r="15" spans="1:26" x14ac:dyDescent="0.25">
      <c r="A15" s="25" t="s">
        <v>7</v>
      </c>
      <c r="B15" s="15">
        <v>0.21</v>
      </c>
      <c r="C15" s="15">
        <v>0.23200000000000001</v>
      </c>
      <c r="D15" s="15">
        <v>0.22600000000000001</v>
      </c>
      <c r="E15" s="15">
        <v>0.23599999999999999</v>
      </c>
      <c r="F15" s="15">
        <v>0.24299999999999999</v>
      </c>
      <c r="G15" s="15">
        <v>0.252</v>
      </c>
      <c r="H15" s="15">
        <v>0.26</v>
      </c>
      <c r="I15" s="15">
        <v>0.27400000000000002</v>
      </c>
      <c r="J15" s="15">
        <v>0.28599999999999998</v>
      </c>
      <c r="K15" s="27" t="s">
        <v>10</v>
      </c>
      <c r="L15" s="17">
        <v>0.30880176797864983</v>
      </c>
      <c r="M15" s="32">
        <v>136024</v>
      </c>
      <c r="N15" s="18">
        <v>150030</v>
      </c>
      <c r="O15" s="18">
        <v>48462</v>
      </c>
      <c r="P15" s="17">
        <v>0.45100000000000001</v>
      </c>
      <c r="Q15" s="17">
        <v>0.26525203628629468</v>
      </c>
      <c r="R15" s="17">
        <v>0.22461588375703923</v>
      </c>
      <c r="S15" s="17">
        <v>0.45100313033579964</v>
      </c>
      <c r="T15" s="17">
        <v>0.18715718939386908</v>
      </c>
      <c r="U15" s="17">
        <v>0.16566131896622782</v>
      </c>
      <c r="V15" s="17">
        <v>0.43094996516020195</v>
      </c>
      <c r="W15" s="28">
        <v>190179</v>
      </c>
      <c r="X15" s="28">
        <v>80664</v>
      </c>
      <c r="Y15" s="28">
        <v>22108</v>
      </c>
      <c r="Z15" s="28">
        <v>35253</v>
      </c>
    </row>
    <row r="16" spans="1:26" x14ac:dyDescent="0.25">
      <c r="A16" s="25" t="s">
        <v>1</v>
      </c>
      <c r="B16" s="15">
        <v>0.22900000000000001</v>
      </c>
      <c r="C16" s="15">
        <v>0.247</v>
      </c>
      <c r="D16" s="15">
        <v>0.249</v>
      </c>
      <c r="E16" s="15">
        <v>0.26</v>
      </c>
      <c r="F16" s="15">
        <v>0.26700000000000002</v>
      </c>
      <c r="G16" s="15">
        <v>0.26700000000000002</v>
      </c>
      <c r="H16" s="15">
        <v>0.27400000000000002</v>
      </c>
      <c r="I16" s="15">
        <v>0.26600000000000001</v>
      </c>
      <c r="J16" s="15">
        <v>0.27900000000000003</v>
      </c>
      <c r="K16" s="15">
        <v>0.28399999999999997</v>
      </c>
      <c r="L16" s="17">
        <v>0.2891295635235015</v>
      </c>
      <c r="M16" s="32">
        <v>81686</v>
      </c>
      <c r="N16" s="18">
        <v>178454</v>
      </c>
      <c r="O16" s="18">
        <v>50070</v>
      </c>
      <c r="P16" s="17">
        <v>0.29199999999999998</v>
      </c>
      <c r="Q16" s="17">
        <v>0.29038583267837298</v>
      </c>
      <c r="R16" s="17">
        <v>0.28019183095596506</v>
      </c>
      <c r="S16" s="17">
        <v>0.40652026069183028</v>
      </c>
      <c r="T16" s="17">
        <v>0.21762718253166943</v>
      </c>
      <c r="U16" s="17">
        <v>0.10408166467892788</v>
      </c>
      <c r="V16" s="17">
        <v>0.5635475843936335</v>
      </c>
      <c r="W16" s="28">
        <v>219375</v>
      </c>
      <c r="X16" s="28">
        <v>16166</v>
      </c>
      <c r="Y16" s="28">
        <v>39795</v>
      </c>
      <c r="Z16" s="28">
        <v>24006</v>
      </c>
    </row>
    <row r="17" spans="1:26" x14ac:dyDescent="0.25">
      <c r="A17" s="25" t="s">
        <v>8</v>
      </c>
      <c r="B17" s="15">
        <v>0.34200000000000003</v>
      </c>
      <c r="C17" s="15">
        <v>0.32600000000000001</v>
      </c>
      <c r="D17" s="15">
        <v>0.34899999999999998</v>
      </c>
      <c r="E17" s="15">
        <v>0.33100000000000002</v>
      </c>
      <c r="F17" s="15">
        <v>0.38400000000000001</v>
      </c>
      <c r="G17" s="15">
        <v>0.39700000000000002</v>
      </c>
      <c r="H17" s="15">
        <v>0.38400000000000001</v>
      </c>
      <c r="I17" s="15">
        <v>0.41299999999999998</v>
      </c>
      <c r="J17" s="15">
        <v>0.45700000000000002</v>
      </c>
      <c r="K17" s="15">
        <v>0.441</v>
      </c>
      <c r="L17" s="17">
        <v>0.43847053971359784</v>
      </c>
      <c r="M17" s="32">
        <v>40168</v>
      </c>
      <c r="N17" s="18">
        <v>37640</v>
      </c>
      <c r="O17" s="18">
        <v>13621</v>
      </c>
      <c r="P17" s="17">
        <v>0.64</v>
      </c>
      <c r="Q17" s="17">
        <v>0.3814272106361849</v>
      </c>
      <c r="R17" s="17">
        <v>0.28935293367888854</v>
      </c>
      <c r="S17" s="17">
        <v>0.50000705636625364</v>
      </c>
      <c r="T17" s="17">
        <v>0.18314075052272477</v>
      </c>
      <c r="U17" s="17">
        <v>0.38258459743290546</v>
      </c>
      <c r="V17" s="17">
        <v>0.79563198987128081</v>
      </c>
      <c r="W17" s="28">
        <v>70859</v>
      </c>
      <c r="X17" s="28">
        <v>8321</v>
      </c>
      <c r="Y17" s="28">
        <v>2623</v>
      </c>
      <c r="Z17" s="28">
        <v>7541</v>
      </c>
    </row>
    <row r="18" spans="1:26" x14ac:dyDescent="0.25">
      <c r="A18" s="29" t="s">
        <v>0</v>
      </c>
      <c r="B18" s="16">
        <v>0.48199999999999998</v>
      </c>
      <c r="C18" s="16">
        <v>0.48499999999999999</v>
      </c>
      <c r="D18" s="16">
        <v>0.501</v>
      </c>
      <c r="E18" s="16">
        <v>0.52500000000000002</v>
      </c>
      <c r="F18" s="16">
        <v>0.53</v>
      </c>
      <c r="G18" s="16">
        <v>0.55100000000000005</v>
      </c>
      <c r="H18" s="16">
        <v>0.55000000000000004</v>
      </c>
      <c r="I18" s="16">
        <v>0.56699999999999995</v>
      </c>
      <c r="J18" s="16">
        <v>0.56799999999999995</v>
      </c>
      <c r="K18" s="16">
        <v>0.57299999999999995</v>
      </c>
      <c r="L18" s="20">
        <v>0.60412734717379479</v>
      </c>
      <c r="M18" s="33">
        <v>120770</v>
      </c>
      <c r="N18" s="21">
        <v>142658</v>
      </c>
      <c r="O18" s="21">
        <v>38742</v>
      </c>
      <c r="P18" s="20">
        <v>0.73899999999999999</v>
      </c>
      <c r="Q18" s="20">
        <v>0.56817068459433728</v>
      </c>
      <c r="R18" s="20">
        <v>0.45245602971060189</v>
      </c>
      <c r="S18" s="20">
        <v>0.92585388123322132</v>
      </c>
      <c r="T18" s="20">
        <v>0.28703860306721823</v>
      </c>
      <c r="U18" s="20">
        <v>0.55486909098227044</v>
      </c>
      <c r="V18" s="20">
        <v>0.85628827131417806</v>
      </c>
      <c r="W18" s="31">
        <v>186579</v>
      </c>
      <c r="X18" s="31">
        <v>62794</v>
      </c>
      <c r="Y18" s="31">
        <v>27572</v>
      </c>
      <c r="Z18" s="31">
        <v>18179</v>
      </c>
    </row>
    <row r="19" spans="1:26" x14ac:dyDescent="0.25">
      <c r="B19" s="1"/>
      <c r="C19" s="1"/>
      <c r="D19" s="1"/>
      <c r="E19" s="1"/>
      <c r="L19" s="4"/>
      <c r="M19" s="4"/>
      <c r="N19" s="4"/>
      <c r="O19" s="4"/>
      <c r="P19" s="4"/>
      <c r="Q19" s="4"/>
      <c r="R19" s="4"/>
      <c r="S19" s="4"/>
      <c r="T19" s="4"/>
      <c r="U19" s="4"/>
      <c r="V19" s="4"/>
      <c r="W19" s="4"/>
      <c r="X19" s="4"/>
      <c r="Y19" s="4"/>
      <c r="Z19" s="4"/>
    </row>
    <row r="20" spans="1:26" x14ac:dyDescent="0.25">
      <c r="A20" s="7" t="s">
        <v>23</v>
      </c>
    </row>
    <row r="21" spans="1:26" ht="63.75" customHeight="1" x14ac:dyDescent="0.25">
      <c r="A21" s="45" t="s">
        <v>26</v>
      </c>
      <c r="B21" s="45"/>
      <c r="C21" s="45"/>
      <c r="D21" s="45"/>
      <c r="E21" s="45"/>
      <c r="F21" s="45"/>
    </row>
    <row r="23" spans="1:26" x14ac:dyDescent="0.25">
      <c r="A23" s="7" t="s">
        <v>24</v>
      </c>
    </row>
    <row r="24" spans="1:26" x14ac:dyDescent="0.25">
      <c r="A24" t="s">
        <v>37</v>
      </c>
    </row>
  </sheetData>
  <mergeCells count="1">
    <mergeCell ref="A21:F21"/>
  </mergeCells>
  <hyperlinks>
    <hyperlink ref="A3" r:id="rId1" xr:uid="{5202A1F9-2791-4C4F-81A4-D7520A92242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FFB-7732-44C7-9A81-0AAE65EA0C00}">
  <dimension ref="A1:Z24"/>
  <sheetViews>
    <sheetView zoomScale="90" zoomScaleNormal="90" workbookViewId="0">
      <selection activeCell="M10" sqref="M10"/>
    </sheetView>
  </sheetViews>
  <sheetFormatPr defaultRowHeight="15" x14ac:dyDescent="0.25"/>
  <cols>
    <col min="1" max="1" width="13.1406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38</v>
      </c>
    </row>
    <row r="7" spans="1:26" x14ac:dyDescent="0.25">
      <c r="A7" s="7" t="s">
        <v>39</v>
      </c>
    </row>
    <row r="8" spans="1:26" x14ac:dyDescent="0.25">
      <c r="A8" s="9"/>
      <c r="B8" s="9">
        <v>2008</v>
      </c>
      <c r="C8" s="9">
        <v>2009</v>
      </c>
      <c r="D8" s="9">
        <v>2010</v>
      </c>
      <c r="E8" s="9">
        <v>2011</v>
      </c>
      <c r="F8" s="9">
        <v>2012</v>
      </c>
      <c r="G8" s="9">
        <v>2013</v>
      </c>
      <c r="H8" s="9">
        <v>2014</v>
      </c>
      <c r="I8" s="9">
        <v>2015</v>
      </c>
      <c r="J8" s="9">
        <v>2016</v>
      </c>
      <c r="K8" s="9">
        <v>2017</v>
      </c>
      <c r="L8" s="9">
        <v>2018</v>
      </c>
      <c r="M8" s="36" t="s">
        <v>17</v>
      </c>
      <c r="N8" s="36" t="s">
        <v>11</v>
      </c>
      <c r="O8" s="36" t="s">
        <v>12</v>
      </c>
      <c r="P8" s="36" t="s">
        <v>17</v>
      </c>
      <c r="Q8" s="36" t="s">
        <v>11</v>
      </c>
      <c r="R8" s="36" t="s">
        <v>12</v>
      </c>
      <c r="S8" s="9" t="s">
        <v>13</v>
      </c>
      <c r="T8" s="9" t="s">
        <v>14</v>
      </c>
      <c r="U8" s="9" t="s">
        <v>15</v>
      </c>
      <c r="V8" s="9" t="s">
        <v>16</v>
      </c>
      <c r="W8" s="9" t="s">
        <v>13</v>
      </c>
      <c r="X8" s="9" t="s">
        <v>14</v>
      </c>
      <c r="Y8" s="9" t="s">
        <v>15</v>
      </c>
      <c r="Z8" s="9" t="s">
        <v>16</v>
      </c>
    </row>
    <row r="9" spans="1:26" x14ac:dyDescent="0.25">
      <c r="A9" s="25" t="s">
        <v>3</v>
      </c>
      <c r="B9" s="15">
        <v>0.57623962545222385</v>
      </c>
      <c r="C9" s="15">
        <v>0.48434325744308232</v>
      </c>
      <c r="D9" s="15">
        <v>0.48483464875089688</v>
      </c>
      <c r="E9" s="15">
        <v>0.46118587295057883</v>
      </c>
      <c r="F9" s="15">
        <v>0.50250195936576836</v>
      </c>
      <c r="G9" s="15">
        <v>0.5086951579904524</v>
      </c>
      <c r="H9" s="15">
        <v>0.52448520505277729</v>
      </c>
      <c r="I9" s="15">
        <v>0.57137897112435621</v>
      </c>
      <c r="J9" s="15">
        <v>0.48079780546348155</v>
      </c>
      <c r="K9" s="15">
        <v>0.47519981194170191</v>
      </c>
      <c r="L9" s="15">
        <v>0.53955714450467074</v>
      </c>
      <c r="M9" s="27" t="s">
        <v>10</v>
      </c>
      <c r="N9" s="27" t="s">
        <v>10</v>
      </c>
      <c r="O9" s="27" t="s">
        <v>10</v>
      </c>
      <c r="P9" s="27" t="s">
        <v>10</v>
      </c>
      <c r="Q9" s="27" t="s">
        <v>10</v>
      </c>
      <c r="R9" s="27" t="s">
        <v>10</v>
      </c>
      <c r="S9" s="27" t="s">
        <v>10</v>
      </c>
      <c r="T9" s="27" t="s">
        <v>10</v>
      </c>
      <c r="U9" s="27" t="s">
        <v>10</v>
      </c>
      <c r="V9" s="27" t="s">
        <v>10</v>
      </c>
      <c r="W9" s="27" t="s">
        <v>10</v>
      </c>
      <c r="X9" s="27" t="s">
        <v>10</v>
      </c>
      <c r="Y9" s="27" t="s">
        <v>10</v>
      </c>
      <c r="Z9" s="27" t="s">
        <v>10</v>
      </c>
    </row>
    <row r="10" spans="1:26" x14ac:dyDescent="0.25">
      <c r="A10" s="25" t="s">
        <v>4</v>
      </c>
      <c r="B10" s="15">
        <v>0.6577913279132791</v>
      </c>
      <c r="C10" s="15">
        <v>0.6570722983905305</v>
      </c>
      <c r="D10" s="15">
        <v>0.6054699304925959</v>
      </c>
      <c r="E10" s="15">
        <v>0.54396085877026434</v>
      </c>
      <c r="F10" s="15">
        <v>0.59163387864982397</v>
      </c>
      <c r="G10" s="15">
        <v>0.59347117971958641</v>
      </c>
      <c r="H10" s="15">
        <v>0.59671704389326774</v>
      </c>
      <c r="I10" s="15">
        <v>0.58547846436025552</v>
      </c>
      <c r="J10" s="15">
        <v>0.5868628325159756</v>
      </c>
      <c r="K10" s="15">
        <v>0.65465144921586338</v>
      </c>
      <c r="L10" s="15">
        <v>0.62593552101324124</v>
      </c>
      <c r="M10" s="27" t="s">
        <v>10</v>
      </c>
      <c r="N10" s="27" t="s">
        <v>10</v>
      </c>
      <c r="O10" s="27" t="s">
        <v>10</v>
      </c>
      <c r="P10" s="27" t="s">
        <v>10</v>
      </c>
      <c r="Q10" s="27" t="s">
        <v>10</v>
      </c>
      <c r="R10" s="27" t="s">
        <v>10</v>
      </c>
      <c r="S10" s="27" t="s">
        <v>10</v>
      </c>
      <c r="T10" s="27" t="s">
        <v>10</v>
      </c>
      <c r="U10" s="27" t="s">
        <v>10</v>
      </c>
      <c r="V10" s="27" t="s">
        <v>10</v>
      </c>
      <c r="W10" s="27" t="s">
        <v>10</v>
      </c>
      <c r="X10" s="27" t="s">
        <v>10</v>
      </c>
      <c r="Y10" s="27" t="s">
        <v>10</v>
      </c>
      <c r="Z10" s="27" t="s">
        <v>10</v>
      </c>
    </row>
    <row r="11" spans="1:26" x14ac:dyDescent="0.25">
      <c r="A11" s="25" t="s">
        <v>2</v>
      </c>
      <c r="B11" s="15">
        <v>0.53354252600146768</v>
      </c>
      <c r="C11" s="15">
        <v>0.55887742550894892</v>
      </c>
      <c r="D11" s="15">
        <v>0.49834069240937084</v>
      </c>
      <c r="E11" s="15">
        <v>0.50075962081737713</v>
      </c>
      <c r="F11" s="15">
        <v>0.54932973412131614</v>
      </c>
      <c r="G11" s="15">
        <v>0.56145130418989342</v>
      </c>
      <c r="H11" s="15">
        <v>0.57039880800569154</v>
      </c>
      <c r="I11" s="15">
        <v>0.56274472739056469</v>
      </c>
      <c r="J11" s="15">
        <v>0.60933575427447417</v>
      </c>
      <c r="K11" s="15">
        <v>0.53730242653606408</v>
      </c>
      <c r="L11" s="15">
        <v>0.588965082367778</v>
      </c>
      <c r="M11" s="27" t="s">
        <v>10</v>
      </c>
      <c r="N11" s="27" t="s">
        <v>10</v>
      </c>
      <c r="O11" s="27" t="s">
        <v>10</v>
      </c>
      <c r="P11" s="27" t="s">
        <v>10</v>
      </c>
      <c r="Q11" s="27" t="s">
        <v>10</v>
      </c>
      <c r="R11" s="27" t="s">
        <v>10</v>
      </c>
      <c r="S11" s="27" t="s">
        <v>10</v>
      </c>
      <c r="T11" s="27" t="s">
        <v>10</v>
      </c>
      <c r="U11" s="27" t="s">
        <v>10</v>
      </c>
      <c r="V11" s="27" t="s">
        <v>10</v>
      </c>
      <c r="W11" s="27" t="s">
        <v>10</v>
      </c>
      <c r="X11" s="27" t="s">
        <v>10</v>
      </c>
      <c r="Y11" s="27" t="s">
        <v>10</v>
      </c>
      <c r="Z11" s="27" t="s">
        <v>10</v>
      </c>
    </row>
    <row r="12" spans="1:26" x14ac:dyDescent="0.25">
      <c r="A12" s="25" t="s">
        <v>6</v>
      </c>
      <c r="B12" s="15">
        <v>0.41931406421167944</v>
      </c>
      <c r="C12" s="15">
        <v>0.5022048423329728</v>
      </c>
      <c r="D12" s="15">
        <v>0.56442030215583094</v>
      </c>
      <c r="E12" s="15">
        <v>0.46117355883262867</v>
      </c>
      <c r="F12" s="15">
        <v>0.41268809214192831</v>
      </c>
      <c r="G12" s="15">
        <v>0.41448382126348227</v>
      </c>
      <c r="H12" s="15">
        <v>0.42453946256548925</v>
      </c>
      <c r="I12" s="15">
        <v>0.41511468339541269</v>
      </c>
      <c r="J12" s="15">
        <v>0.52152051488334672</v>
      </c>
      <c r="K12" s="15">
        <v>0.31950940650660015</v>
      </c>
      <c r="L12" s="15">
        <v>0.40025310630464794</v>
      </c>
      <c r="M12" s="27" t="s">
        <v>10</v>
      </c>
      <c r="N12" s="27" t="s">
        <v>10</v>
      </c>
      <c r="O12" s="27" t="s">
        <v>10</v>
      </c>
      <c r="P12" s="27" t="s">
        <v>10</v>
      </c>
      <c r="Q12" s="27" t="s">
        <v>10</v>
      </c>
      <c r="R12" s="27" t="s">
        <v>10</v>
      </c>
      <c r="S12" s="27" t="s">
        <v>10</v>
      </c>
      <c r="T12" s="27" t="s">
        <v>10</v>
      </c>
      <c r="U12" s="27" t="s">
        <v>10</v>
      </c>
      <c r="V12" s="27" t="s">
        <v>10</v>
      </c>
      <c r="W12" s="27" t="s">
        <v>10</v>
      </c>
      <c r="X12" s="27" t="s">
        <v>10</v>
      </c>
      <c r="Y12" s="27" t="s">
        <v>10</v>
      </c>
      <c r="Z12" s="27" t="s">
        <v>10</v>
      </c>
    </row>
    <row r="13" spans="1:26" x14ac:dyDescent="0.25">
      <c r="A13" s="25" t="s">
        <v>5</v>
      </c>
      <c r="B13" s="15">
        <v>0.56982222222222223</v>
      </c>
      <c r="C13" s="15">
        <v>0.39700694418656468</v>
      </c>
      <c r="D13" s="15">
        <v>0.42806376281856023</v>
      </c>
      <c r="E13" s="15">
        <v>0.46735805773274708</v>
      </c>
      <c r="F13" s="15">
        <v>0.4586883856692246</v>
      </c>
      <c r="G13" s="15">
        <v>0.41007230367543684</v>
      </c>
      <c r="H13" s="15">
        <v>0.43647984786857535</v>
      </c>
      <c r="I13" s="15">
        <v>0.36871670702179177</v>
      </c>
      <c r="J13" s="15">
        <v>0.38646092583374814</v>
      </c>
      <c r="K13" s="15">
        <v>0.43445055212336431</v>
      </c>
      <c r="L13" s="15">
        <v>0.36027120126852208</v>
      </c>
      <c r="M13" s="27" t="s">
        <v>10</v>
      </c>
      <c r="N13" s="27" t="s">
        <v>10</v>
      </c>
      <c r="O13" s="27" t="s">
        <v>10</v>
      </c>
      <c r="P13" s="27" t="s">
        <v>10</v>
      </c>
      <c r="Q13" s="27" t="s">
        <v>10</v>
      </c>
      <c r="R13" s="27" t="s">
        <v>10</v>
      </c>
      <c r="S13" s="27" t="s">
        <v>10</v>
      </c>
      <c r="T13" s="27" t="s">
        <v>10</v>
      </c>
      <c r="U13" s="27" t="s">
        <v>10</v>
      </c>
      <c r="V13" s="27" t="s">
        <v>10</v>
      </c>
      <c r="W13" s="27" t="s">
        <v>10</v>
      </c>
      <c r="X13" s="27" t="s">
        <v>10</v>
      </c>
      <c r="Y13" s="27" t="s">
        <v>10</v>
      </c>
      <c r="Z13" s="27" t="s">
        <v>10</v>
      </c>
    </row>
    <row r="14" spans="1:26" x14ac:dyDescent="0.25">
      <c r="A14" s="25" t="s">
        <v>9</v>
      </c>
      <c r="B14" s="15">
        <v>0.43190673140322483</v>
      </c>
      <c r="C14" s="15">
        <v>0.41076801468713348</v>
      </c>
      <c r="D14" s="15">
        <v>0.40614454135074723</v>
      </c>
      <c r="E14" s="15">
        <v>0.40523418264309624</v>
      </c>
      <c r="F14" s="15">
        <v>0.42635873706377025</v>
      </c>
      <c r="G14" s="15">
        <v>0.40785172050756358</v>
      </c>
      <c r="H14" s="15">
        <v>0.44465403532304942</v>
      </c>
      <c r="I14" s="15">
        <v>0.40206924666488608</v>
      </c>
      <c r="J14" s="15">
        <v>0.41854643640659278</v>
      </c>
      <c r="K14" s="15">
        <v>0.42871741727478158</v>
      </c>
      <c r="L14" s="15">
        <v>0.46329193288350151</v>
      </c>
      <c r="M14" s="27" t="s">
        <v>10</v>
      </c>
      <c r="N14" s="27" t="s">
        <v>10</v>
      </c>
      <c r="O14" s="27" t="s">
        <v>10</v>
      </c>
      <c r="P14" s="27" t="s">
        <v>10</v>
      </c>
      <c r="Q14" s="27" t="s">
        <v>10</v>
      </c>
      <c r="R14" s="27" t="s">
        <v>10</v>
      </c>
      <c r="S14" s="27" t="s">
        <v>10</v>
      </c>
      <c r="T14" s="27" t="s">
        <v>10</v>
      </c>
      <c r="U14" s="27" t="s">
        <v>10</v>
      </c>
      <c r="V14" s="27" t="s">
        <v>10</v>
      </c>
      <c r="W14" s="27" t="s">
        <v>10</v>
      </c>
      <c r="X14" s="27" t="s">
        <v>10</v>
      </c>
      <c r="Y14" s="27" t="s">
        <v>10</v>
      </c>
      <c r="Z14" s="27" t="s">
        <v>10</v>
      </c>
    </row>
    <row r="15" spans="1:26" x14ac:dyDescent="0.25">
      <c r="A15" s="25" t="s">
        <v>7</v>
      </c>
      <c r="B15" s="15">
        <v>0.48985427274323406</v>
      </c>
      <c r="C15" s="15">
        <v>0.55446599872095503</v>
      </c>
      <c r="D15" s="15">
        <v>0.50313230249092622</v>
      </c>
      <c r="E15" s="15">
        <v>0.51908000271119048</v>
      </c>
      <c r="F15" s="15">
        <v>0.48355278144790198</v>
      </c>
      <c r="G15" s="15">
        <v>0.44787714954226393</v>
      </c>
      <c r="H15" s="15">
        <v>0.45945037209719358</v>
      </c>
      <c r="I15" s="15">
        <v>0.47966458903188197</v>
      </c>
      <c r="J15" s="15">
        <v>0.51423542017449875</v>
      </c>
      <c r="K15" s="27" t="s">
        <v>10</v>
      </c>
      <c r="L15" s="15">
        <v>0.53771262557938393</v>
      </c>
      <c r="M15" s="27" t="s">
        <v>10</v>
      </c>
      <c r="N15" s="27" t="s">
        <v>10</v>
      </c>
      <c r="O15" s="27" t="s">
        <v>10</v>
      </c>
      <c r="P15" s="27" t="s">
        <v>10</v>
      </c>
      <c r="Q15" s="27" t="s">
        <v>10</v>
      </c>
      <c r="R15" s="27" t="s">
        <v>10</v>
      </c>
      <c r="S15" s="27" t="s">
        <v>10</v>
      </c>
      <c r="T15" s="27" t="s">
        <v>10</v>
      </c>
      <c r="U15" s="27" t="s">
        <v>10</v>
      </c>
      <c r="V15" s="27" t="s">
        <v>10</v>
      </c>
      <c r="W15" s="27" t="s">
        <v>10</v>
      </c>
      <c r="X15" s="27" t="s">
        <v>10</v>
      </c>
      <c r="Y15" s="27" t="s">
        <v>10</v>
      </c>
      <c r="Z15" s="27" t="s">
        <v>10</v>
      </c>
    </row>
    <row r="16" spans="1:26" x14ac:dyDescent="0.25">
      <c r="A16" s="25" t="s">
        <v>1</v>
      </c>
      <c r="B16" s="15">
        <v>0.28206872424784263</v>
      </c>
      <c r="C16" s="15">
        <v>0.29461702025611919</v>
      </c>
      <c r="D16" s="15">
        <v>0.32094656628718327</v>
      </c>
      <c r="E16" s="15">
        <v>0.26739457986748955</v>
      </c>
      <c r="F16" s="15">
        <v>0.3092343958183868</v>
      </c>
      <c r="G16" s="15">
        <v>0.29607757681412072</v>
      </c>
      <c r="H16" s="15">
        <v>0.28249566724436742</v>
      </c>
      <c r="I16" s="15">
        <v>0.32886163280950553</v>
      </c>
      <c r="J16" s="15">
        <v>0.35306101660385047</v>
      </c>
      <c r="K16" s="15">
        <v>0.38003789523546361</v>
      </c>
      <c r="L16" s="15">
        <v>0.32987577135433582</v>
      </c>
      <c r="M16" s="27" t="s">
        <v>10</v>
      </c>
      <c r="N16" s="27" t="s">
        <v>10</v>
      </c>
      <c r="O16" s="27" t="s">
        <v>10</v>
      </c>
      <c r="P16" s="27" t="s">
        <v>10</v>
      </c>
      <c r="Q16" s="27" t="s">
        <v>10</v>
      </c>
      <c r="R16" s="27" t="s">
        <v>10</v>
      </c>
      <c r="S16" s="27" t="s">
        <v>10</v>
      </c>
      <c r="T16" s="27" t="s">
        <v>10</v>
      </c>
      <c r="U16" s="27" t="s">
        <v>10</v>
      </c>
      <c r="V16" s="27" t="s">
        <v>10</v>
      </c>
      <c r="W16" s="27" t="s">
        <v>10</v>
      </c>
      <c r="X16" s="27" t="s">
        <v>10</v>
      </c>
      <c r="Y16" s="27" t="s">
        <v>10</v>
      </c>
      <c r="Z16" s="27" t="s">
        <v>10</v>
      </c>
    </row>
    <row r="17" spans="1:26" x14ac:dyDescent="0.25">
      <c r="A17" s="25" t="s">
        <v>8</v>
      </c>
      <c r="B17" s="15">
        <v>0.54864907074808689</v>
      </c>
      <c r="C17" s="15">
        <v>0.58345724907063201</v>
      </c>
      <c r="D17" s="15">
        <v>0.66118012422360251</v>
      </c>
      <c r="E17" s="15">
        <v>0.60242306085503416</v>
      </c>
      <c r="F17" s="15">
        <v>0.45778034237353338</v>
      </c>
      <c r="G17" s="15">
        <v>0.57300756253635832</v>
      </c>
      <c r="H17" s="15">
        <v>0.66390977443609023</v>
      </c>
      <c r="I17" s="15">
        <v>0.39843888593223348</v>
      </c>
      <c r="J17" s="15">
        <v>0.50395069532237668</v>
      </c>
      <c r="K17" s="15">
        <v>0.51232361241768576</v>
      </c>
      <c r="L17" s="15">
        <v>0.61482752048789779</v>
      </c>
      <c r="M17" s="27" t="s">
        <v>10</v>
      </c>
      <c r="N17" s="27" t="s">
        <v>10</v>
      </c>
      <c r="O17" s="27" t="s">
        <v>10</v>
      </c>
      <c r="P17" s="27" t="s">
        <v>10</v>
      </c>
      <c r="Q17" s="27" t="s">
        <v>10</v>
      </c>
      <c r="R17" s="27" t="s">
        <v>10</v>
      </c>
      <c r="S17" s="27" t="s">
        <v>10</v>
      </c>
      <c r="T17" s="27" t="s">
        <v>10</v>
      </c>
      <c r="U17" s="27" t="s">
        <v>10</v>
      </c>
      <c r="V17" s="27" t="s">
        <v>10</v>
      </c>
      <c r="W17" s="27" t="s">
        <v>10</v>
      </c>
      <c r="X17" s="27" t="s">
        <v>10</v>
      </c>
      <c r="Y17" s="27" t="s">
        <v>10</v>
      </c>
      <c r="Z17" s="27" t="s">
        <v>10</v>
      </c>
    </row>
    <row r="18" spans="1:26" x14ac:dyDescent="0.25">
      <c r="A18" s="29" t="s">
        <v>0</v>
      </c>
      <c r="B18" s="16">
        <v>0.73602463222716386</v>
      </c>
      <c r="C18" s="16">
        <v>0.58895149277896508</v>
      </c>
      <c r="D18" s="16">
        <v>0.73909353250721443</v>
      </c>
      <c r="E18" s="16">
        <v>0.74565756823821339</v>
      </c>
      <c r="F18" s="16">
        <v>0.78391926653914645</v>
      </c>
      <c r="G18" s="16">
        <v>0.78497639734555658</v>
      </c>
      <c r="H18" s="16">
        <v>0.86360197846959563</v>
      </c>
      <c r="I18" s="16">
        <v>0.74553738609412057</v>
      </c>
      <c r="J18" s="16">
        <v>0.77710772833723651</v>
      </c>
      <c r="K18" s="16">
        <v>0.73214682981090096</v>
      </c>
      <c r="L18" s="16">
        <v>0.78147722923842322</v>
      </c>
      <c r="M18" s="35" t="s">
        <v>10</v>
      </c>
      <c r="N18" s="35" t="s">
        <v>10</v>
      </c>
      <c r="O18" s="35" t="s">
        <v>10</v>
      </c>
      <c r="P18" s="35" t="s">
        <v>10</v>
      </c>
      <c r="Q18" s="35" t="s">
        <v>10</v>
      </c>
      <c r="R18" s="35" t="s">
        <v>10</v>
      </c>
      <c r="S18" s="35" t="s">
        <v>10</v>
      </c>
      <c r="T18" s="35" t="s">
        <v>10</v>
      </c>
      <c r="U18" s="35" t="s">
        <v>10</v>
      </c>
      <c r="V18" s="35" t="s">
        <v>10</v>
      </c>
      <c r="W18" s="35" t="s">
        <v>10</v>
      </c>
      <c r="X18" s="35" t="s">
        <v>10</v>
      </c>
      <c r="Y18" s="35" t="s">
        <v>10</v>
      </c>
      <c r="Z18" s="35" t="s">
        <v>10</v>
      </c>
    </row>
    <row r="20" spans="1:26" x14ac:dyDescent="0.25">
      <c r="A20" s="7" t="s">
        <v>23</v>
      </c>
    </row>
    <row r="21" spans="1:26" ht="66" customHeight="1" x14ac:dyDescent="0.25">
      <c r="A21" s="45" t="s">
        <v>26</v>
      </c>
      <c r="B21" s="45"/>
      <c r="C21" s="45"/>
      <c r="D21" s="45"/>
      <c r="E21" s="45"/>
      <c r="F21" s="45"/>
    </row>
    <row r="23" spans="1:26" x14ac:dyDescent="0.25">
      <c r="A23" s="7" t="s">
        <v>24</v>
      </c>
    </row>
    <row r="24" spans="1:26" x14ac:dyDescent="0.25">
      <c r="A24" t="s">
        <v>40</v>
      </c>
    </row>
  </sheetData>
  <mergeCells count="1">
    <mergeCell ref="A21:F21"/>
  </mergeCells>
  <hyperlinks>
    <hyperlink ref="A3" r:id="rId1" xr:uid="{0D91D32B-87F5-42A0-A1E6-087E627CCC7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113C-7460-410E-9737-38E113439837}">
  <dimension ref="A1:Z24"/>
  <sheetViews>
    <sheetView zoomScale="90" zoomScaleNormal="90" workbookViewId="0">
      <selection activeCell="K16" sqref="K16"/>
    </sheetView>
  </sheetViews>
  <sheetFormatPr defaultRowHeight="15" x14ac:dyDescent="0.25"/>
  <cols>
    <col min="1" max="1" width="12.85546875" bestFit="1" customWidth="1"/>
    <col min="2" max="16" width="9.140625" customWidth="1"/>
    <col min="17" max="18" width="10" customWidth="1"/>
    <col min="19" max="19" width="11.42578125" customWidth="1"/>
    <col min="23" max="23" width="10.42578125" customWidth="1"/>
    <col min="24" max="24" width="10.140625" customWidth="1"/>
    <col min="25" max="25" width="10.85546875" customWidth="1"/>
    <col min="26" max="26" width="9.57031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41</v>
      </c>
    </row>
    <row r="7" spans="1:26" x14ac:dyDescent="0.25">
      <c r="A7" s="7" t="s">
        <v>42</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0" t="s">
        <v>13</v>
      </c>
      <c r="X8" s="10" t="s">
        <v>14</v>
      </c>
      <c r="Y8" s="10" t="s">
        <v>15</v>
      </c>
      <c r="Z8" s="10" t="s">
        <v>16</v>
      </c>
    </row>
    <row r="9" spans="1:26" x14ac:dyDescent="0.25">
      <c r="A9" s="25" t="s">
        <v>0</v>
      </c>
      <c r="B9" s="15">
        <f>108571/249996</f>
        <v>0.43429094865517848</v>
      </c>
      <c r="C9" s="15">
        <f>111618/249280</f>
        <v>0.44776155327342748</v>
      </c>
      <c r="D9" s="15">
        <f>107193/252388</f>
        <v>0.42471512116265431</v>
      </c>
      <c r="E9" s="15">
        <f>110625/268670</f>
        <v>0.41175047455986896</v>
      </c>
      <c r="F9" s="15">
        <f>110681/266662</f>
        <v>0.41506101356773745</v>
      </c>
      <c r="G9" s="15">
        <f>110513/271651</f>
        <v>0.40681977979098183</v>
      </c>
      <c r="H9" s="15">
        <f>112492/277378</f>
        <v>0.40555487457548905</v>
      </c>
      <c r="I9" s="15">
        <f>112555/281787</f>
        <v>0.39943290499561723</v>
      </c>
      <c r="J9" s="15">
        <f>110376/281241</f>
        <v>0.39246055873787961</v>
      </c>
      <c r="K9" s="15">
        <v>0.4220801136868283</v>
      </c>
      <c r="L9" s="17">
        <v>0.42278311928647955</v>
      </c>
      <c r="M9" s="17">
        <v>0.17524764435854071</v>
      </c>
      <c r="N9" s="17">
        <v>0.49973250661874646</v>
      </c>
      <c r="O9" s="17">
        <v>0.58020645862338283</v>
      </c>
      <c r="P9" s="18">
        <v>14507</v>
      </c>
      <c r="Q9" s="18">
        <v>72860</v>
      </c>
      <c r="R9" s="18">
        <v>34173</v>
      </c>
      <c r="S9" s="17">
        <v>0.50647749876740511</v>
      </c>
      <c r="T9" s="17">
        <v>0.36255690956080622</v>
      </c>
      <c r="U9" s="17">
        <v>0.30573339532887445</v>
      </c>
      <c r="V9" s="17">
        <v>0.45566248496305206</v>
      </c>
      <c r="W9" s="18">
        <v>59581</v>
      </c>
      <c r="X9" s="18">
        <v>45312</v>
      </c>
      <c r="Y9" s="18">
        <v>8548</v>
      </c>
      <c r="Z9" s="18">
        <v>5303</v>
      </c>
    </row>
    <row r="10" spans="1:26" x14ac:dyDescent="0.25">
      <c r="A10" s="25" t="s">
        <v>1</v>
      </c>
      <c r="B10" s="15">
        <f>303014/493898</f>
        <v>0.6135153412243014</v>
      </c>
      <c r="C10" s="15">
        <f>305306/516655</f>
        <v>0.59092818224927657</v>
      </c>
      <c r="D10" s="15">
        <f>285182/511432</f>
        <v>0.55761469755510018</v>
      </c>
      <c r="E10" s="15">
        <f>286852/519369</f>
        <v>0.55230866686305879</v>
      </c>
      <c r="F10" s="15">
        <f>276136/521555</f>
        <v>0.52944751751972463</v>
      </c>
      <c r="G10" s="15">
        <f>271090/517276</f>
        <v>0.52407225543036984</v>
      </c>
      <c r="H10" s="15">
        <f>270456/532210</f>
        <v>0.50817534431897182</v>
      </c>
      <c r="I10" s="15">
        <f>268992/534199</f>
        <v>0.50354268727571561</v>
      </c>
      <c r="J10" s="15">
        <f>294909/555953</f>
        <v>0.53045671126875837</v>
      </c>
      <c r="K10" s="15">
        <v>0.56123972780356068</v>
      </c>
      <c r="L10" s="17">
        <v>0.53557239687111169</v>
      </c>
      <c r="M10" s="17">
        <v>0.26698062202999173</v>
      </c>
      <c r="N10" s="17">
        <v>0.5870820538543412</v>
      </c>
      <c r="O10" s="17">
        <v>0.73082703959222162</v>
      </c>
      <c r="P10" s="18">
        <v>37530</v>
      </c>
      <c r="Q10" s="18">
        <v>191950</v>
      </c>
      <c r="R10" s="18">
        <v>78284</v>
      </c>
      <c r="S10" s="17">
        <v>0.62401211992550487</v>
      </c>
      <c r="T10" s="17">
        <v>0.24979364667594273</v>
      </c>
      <c r="U10" s="17">
        <v>0.4616781931191456</v>
      </c>
      <c r="V10" s="17">
        <v>0.62204922149673536</v>
      </c>
      <c r="W10" s="18">
        <v>194001</v>
      </c>
      <c r="X10" s="18">
        <v>10592</v>
      </c>
      <c r="Y10" s="18">
        <v>84380</v>
      </c>
      <c r="Z10" s="18">
        <v>12385</v>
      </c>
    </row>
    <row r="11" spans="1:26" x14ac:dyDescent="0.25">
      <c r="A11" s="25" t="s">
        <v>2</v>
      </c>
      <c r="B11" s="15">
        <f>492157/1025027</f>
        <v>0.48014052312768346</v>
      </c>
      <c r="C11" s="15">
        <f>502615/1072886</f>
        <v>0.4684700890868182</v>
      </c>
      <c r="D11" s="15">
        <f>465248/1014576</f>
        <v>0.45856397155067735</v>
      </c>
      <c r="E11" s="15">
        <f>449479/1016342</f>
        <v>0.44225172235330235</v>
      </c>
      <c r="F11" s="15">
        <f>457833/1032074</f>
        <v>0.44360481903429405</v>
      </c>
      <c r="G11" s="15">
        <f>441937/1030136</f>
        <v>0.42900840277400265</v>
      </c>
      <c r="H11" s="15">
        <f>450277/1031672</f>
        <v>0.43645364030428274</v>
      </c>
      <c r="I11" s="15">
        <f>461487/1053229</f>
        <v>0.43816397003880447</v>
      </c>
      <c r="J11" s="15">
        <f>460612/1053986</f>
        <v>0.43701908754006219</v>
      </c>
      <c r="K11" s="15">
        <v>0.44885677606555341</v>
      </c>
      <c r="L11" s="17">
        <v>0.45704369478776047</v>
      </c>
      <c r="M11" s="17">
        <v>0.21756930476458597</v>
      </c>
      <c r="N11" s="17">
        <v>0.51688746450333589</v>
      </c>
      <c r="O11" s="17">
        <v>0.62017716364142639</v>
      </c>
      <c r="P11" s="18">
        <v>64144</v>
      </c>
      <c r="Q11" s="18">
        <v>285953</v>
      </c>
      <c r="R11" s="18">
        <v>142544</v>
      </c>
      <c r="S11" s="17">
        <v>0.53728318013149889</v>
      </c>
      <c r="T11" s="17">
        <v>0.34111446730853945</v>
      </c>
      <c r="U11" s="17">
        <v>0.47785044984831454</v>
      </c>
      <c r="V11" s="17">
        <v>0.45293729554388762</v>
      </c>
      <c r="W11" s="18">
        <v>234854</v>
      </c>
      <c r="X11" s="18">
        <v>108413</v>
      </c>
      <c r="Y11" s="18">
        <v>110102</v>
      </c>
      <c r="Z11" s="18">
        <v>32953</v>
      </c>
    </row>
    <row r="12" spans="1:26" x14ac:dyDescent="0.25">
      <c r="A12" s="25" t="s">
        <v>3</v>
      </c>
      <c r="B12" s="15">
        <f>122463/238454</f>
        <v>0.5135707515915019</v>
      </c>
      <c r="C12" s="15">
        <f>119097/234840</f>
        <v>0.5071410321921308</v>
      </c>
      <c r="D12" s="15">
        <f>109283/237945</f>
        <v>0.45927840467334891</v>
      </c>
      <c r="E12" s="15">
        <f>116312/239251</f>
        <v>0.48615052810646558</v>
      </c>
      <c r="F12" s="15">
        <f>113191/244397</f>
        <v>0.46314398294578085</v>
      </c>
      <c r="G12" s="15">
        <f>112858/244114</f>
        <v>0.46231678641945978</v>
      </c>
      <c r="H12" s="15">
        <f>109782/238897</f>
        <v>0.459536955256868</v>
      </c>
      <c r="I12" s="15">
        <f>106689/238400</f>
        <v>0.4475209731543624</v>
      </c>
      <c r="J12" s="15">
        <f>110146/240764</f>
        <v>0.45748533833961885</v>
      </c>
      <c r="K12" s="15">
        <v>0.4741967704344931</v>
      </c>
      <c r="L12" s="17">
        <v>0.47478541677206115</v>
      </c>
      <c r="M12" s="17">
        <v>0.2554777345438824</v>
      </c>
      <c r="N12" s="17">
        <v>0.49917700528190639</v>
      </c>
      <c r="O12" s="17">
        <v>0.64422673931265717</v>
      </c>
      <c r="P12" s="18">
        <v>14773</v>
      </c>
      <c r="Q12" s="18">
        <v>60957</v>
      </c>
      <c r="R12" s="18">
        <v>36891</v>
      </c>
      <c r="S12" s="17">
        <v>0.57516916369501392</v>
      </c>
      <c r="T12" s="17">
        <v>0.42818754029016159</v>
      </c>
      <c r="U12" s="17">
        <v>0.38634388578522655</v>
      </c>
      <c r="V12" s="17">
        <v>0.39787798408488062</v>
      </c>
      <c r="W12" s="18">
        <v>45646</v>
      </c>
      <c r="X12" s="18">
        <v>59116</v>
      </c>
      <c r="Y12" s="18">
        <v>3112</v>
      </c>
      <c r="Z12" s="18">
        <v>2400</v>
      </c>
    </row>
    <row r="13" spans="1:26" x14ac:dyDescent="0.25">
      <c r="A13" s="25" t="s">
        <v>4</v>
      </c>
      <c r="B13" s="15">
        <f>85849/232969</f>
        <v>0.36849967163013103</v>
      </c>
      <c r="C13" s="15">
        <f>89308/240155</f>
        <v>0.37187649642938936</v>
      </c>
      <c r="D13" s="15">
        <f>81770/251721</f>
        <v>0.32484377544980353</v>
      </c>
      <c r="E13" s="15">
        <f>84440/251745</f>
        <v>0.33541877693697986</v>
      </c>
      <c r="F13" s="15">
        <f>82093/247254</f>
        <v>0.332018895548707</v>
      </c>
      <c r="G13" s="15">
        <f>84697/251757</f>
        <v>0.33642361483494004</v>
      </c>
      <c r="H13" s="15">
        <f>88610/253749</f>
        <v>0.34920334661417385</v>
      </c>
      <c r="I13" s="15">
        <f>89071/261492</f>
        <v>0.3406260994600217</v>
      </c>
      <c r="J13" s="15">
        <f>93649/267592</f>
        <v>0.34996935633352266</v>
      </c>
      <c r="K13" s="15">
        <v>0.35189188383326375</v>
      </c>
      <c r="L13" s="17">
        <v>0.34126273327653872</v>
      </c>
      <c r="M13" s="17">
        <v>0.15906850395425767</v>
      </c>
      <c r="N13" s="17">
        <v>0.41919503688385445</v>
      </c>
      <c r="O13" s="17">
        <v>0.46273984828201697</v>
      </c>
      <c r="P13" s="18">
        <v>14522</v>
      </c>
      <c r="Q13" s="18">
        <v>54326</v>
      </c>
      <c r="R13" s="18">
        <v>24888</v>
      </c>
      <c r="S13" s="17">
        <v>0.42194815659003637</v>
      </c>
      <c r="T13" s="17">
        <v>0.29956558662137445</v>
      </c>
      <c r="U13" s="17">
        <v>0.18211299934718975</v>
      </c>
      <c r="V13" s="17">
        <v>0.29270878322666771</v>
      </c>
      <c r="W13" s="18">
        <v>58128</v>
      </c>
      <c r="X13" s="18">
        <v>18343</v>
      </c>
      <c r="Y13" s="18">
        <v>8648</v>
      </c>
      <c r="Z13" s="18">
        <v>7455</v>
      </c>
    </row>
    <row r="14" spans="1:26" x14ac:dyDescent="0.25">
      <c r="A14" s="25" t="s">
        <v>5</v>
      </c>
      <c r="B14" s="15">
        <f>140523/263630</f>
        <v>0.53303114213101699</v>
      </c>
      <c r="C14" s="15">
        <f>170584/317357</f>
        <v>0.53751453410512451</v>
      </c>
      <c r="D14" s="15">
        <f>135864/255201</f>
        <v>0.53238035901113245</v>
      </c>
      <c r="E14" s="15">
        <f>131300/253629</f>
        <v>0.51768528046871609</v>
      </c>
      <c r="F14" s="15">
        <f>126235/253073</f>
        <v>0.49880864414615544</v>
      </c>
      <c r="G14" s="15">
        <f>127502/255322</f>
        <v>0.49937725695396401</v>
      </c>
      <c r="H14" s="15">
        <f>117245/253490</f>
        <v>0.46252317645666496</v>
      </c>
      <c r="I14" s="15">
        <f>119034/255580</f>
        <v>0.46574066828390326</v>
      </c>
      <c r="J14" s="15">
        <f>119226/259295</f>
        <v>0.45980832642357161</v>
      </c>
      <c r="K14" s="15">
        <v>0.4694204872144046</v>
      </c>
      <c r="L14" s="17">
        <v>0.46825215050331725</v>
      </c>
      <c r="M14" s="17">
        <v>0.19111148591668073</v>
      </c>
      <c r="N14" s="17">
        <v>0.47728015459156853</v>
      </c>
      <c r="O14" s="17">
        <v>0.69697518292222982</v>
      </c>
      <c r="P14" s="18">
        <v>11331</v>
      </c>
      <c r="Q14" s="18">
        <v>67181</v>
      </c>
      <c r="R14" s="18">
        <v>46199</v>
      </c>
      <c r="S14" s="17">
        <v>0.53148950349883373</v>
      </c>
      <c r="T14" s="17">
        <v>0.4540582251841459</v>
      </c>
      <c r="U14" s="17">
        <v>0.54838006683132356</v>
      </c>
      <c r="V14" s="17">
        <v>0.20758122743682311</v>
      </c>
      <c r="W14" s="18">
        <v>15950</v>
      </c>
      <c r="X14" s="18">
        <v>97089</v>
      </c>
      <c r="Y14" s="18">
        <v>7549</v>
      </c>
      <c r="Z14" s="18">
        <v>690</v>
      </c>
    </row>
    <row r="15" spans="1:26" x14ac:dyDescent="0.25">
      <c r="A15" s="25" t="s">
        <v>6</v>
      </c>
      <c r="B15" s="15">
        <f>77915/168628</f>
        <v>0.46205256541025214</v>
      </c>
      <c r="C15" s="15">
        <f>85419/185241</f>
        <v>0.46112361734173318</v>
      </c>
      <c r="D15" s="15">
        <f>77462/164990</f>
        <v>0.46949512091641915</v>
      </c>
      <c r="E15" s="15">
        <f>76728/171000</f>
        <v>0.44870175438596493</v>
      </c>
      <c r="F15" s="15">
        <f>66966/162717</f>
        <v>0.41154888548830176</v>
      </c>
      <c r="G15" s="15">
        <f>69845/164400</f>
        <v>0.4248479318734793</v>
      </c>
      <c r="H15" s="15">
        <f>65592/165984</f>
        <v>0.3951706188548294</v>
      </c>
      <c r="I15" s="15">
        <f>69054/167667</f>
        <v>0.41185206391239781</v>
      </c>
      <c r="J15" s="15">
        <f>70414/168306</f>
        <v>0.41836892327070929</v>
      </c>
      <c r="K15" s="15">
        <v>0.404077639371757</v>
      </c>
      <c r="L15" s="17">
        <v>0.3995549776043924</v>
      </c>
      <c r="M15" s="17">
        <v>0.15821371610845295</v>
      </c>
      <c r="N15" s="17">
        <v>0.42754913563315011</v>
      </c>
      <c r="O15" s="17">
        <v>0.60774236867930376</v>
      </c>
      <c r="P15" s="18">
        <v>6944</v>
      </c>
      <c r="Q15" s="18">
        <v>38656</v>
      </c>
      <c r="R15" s="18">
        <v>23533</v>
      </c>
      <c r="S15" s="17">
        <v>0.51839820268383019</v>
      </c>
      <c r="T15" s="17">
        <v>0.32204597895550696</v>
      </c>
      <c r="U15" s="17">
        <v>0.328059899764507</v>
      </c>
      <c r="V15" s="17">
        <v>0.30779109589041098</v>
      </c>
      <c r="W15" s="18">
        <v>34150</v>
      </c>
      <c r="X15" s="18">
        <v>26658</v>
      </c>
      <c r="Y15" s="18">
        <v>5433</v>
      </c>
      <c r="Z15" s="18">
        <v>1438</v>
      </c>
    </row>
    <row r="16" spans="1:26" x14ac:dyDescent="0.25">
      <c r="A16" s="25" t="s">
        <v>7</v>
      </c>
      <c r="B16" s="15">
        <f>325179/578263</f>
        <v>0.56233755229022087</v>
      </c>
      <c r="C16" s="15">
        <f>311376/569835</f>
        <v>0.54643186185474746</v>
      </c>
      <c r="D16" s="15">
        <f>311284/575413</f>
        <v>0.54097491714646695</v>
      </c>
      <c r="E16" s="15">
        <f>311303/576429</f>
        <v>0.54005436922847394</v>
      </c>
      <c r="F16" s="15">
        <f>302551/579874</f>
        <v>0.52175300151412207</v>
      </c>
      <c r="G16" s="15">
        <f>297098/582528</f>
        <v>0.5100149692375302</v>
      </c>
      <c r="H16" s="15">
        <f>300561/577862</f>
        <v>0.52012591241507489</v>
      </c>
      <c r="I16" s="15">
        <f>306207/581604</f>
        <v>0.52648709431159346</v>
      </c>
      <c r="J16" s="15">
        <f>302498/580205</f>
        <v>0.52136400065494093</v>
      </c>
      <c r="K16" s="27" t="s">
        <v>10</v>
      </c>
      <c r="L16" s="17">
        <v>0.52724860374231586</v>
      </c>
      <c r="M16" s="17">
        <v>0.24826956354547203</v>
      </c>
      <c r="N16" s="17">
        <v>0.57707411782446971</v>
      </c>
      <c r="O16" s="17">
        <v>0.69888635560391121</v>
      </c>
      <c r="P16" s="18">
        <v>36155</v>
      </c>
      <c r="Q16" s="18">
        <v>183685</v>
      </c>
      <c r="R16" s="18">
        <v>100850</v>
      </c>
      <c r="S16" s="17">
        <v>0.59759098562362389</v>
      </c>
      <c r="T16" s="17">
        <v>0.48391704073549535</v>
      </c>
      <c r="U16" s="17">
        <v>0.44630408399424232</v>
      </c>
      <c r="V16" s="17">
        <v>0.53568957121254834</v>
      </c>
      <c r="W16" s="18">
        <v>143034</v>
      </c>
      <c r="X16" s="18">
        <v>120957</v>
      </c>
      <c r="Y16" s="18">
        <v>31626</v>
      </c>
      <c r="Z16" s="18">
        <v>20901</v>
      </c>
    </row>
    <row r="17" spans="1:26" x14ac:dyDescent="0.25">
      <c r="A17" s="25" t="s">
        <v>8</v>
      </c>
      <c r="B17" s="15">
        <f>67830/129994</f>
        <v>0.52179331353754788</v>
      </c>
      <c r="C17" s="15">
        <f>64805/137580</f>
        <v>0.47103503416194215</v>
      </c>
      <c r="D17" s="15">
        <f>66693/129828</f>
        <v>0.51370274517053327</v>
      </c>
      <c r="E17" s="15">
        <f>63514/131776</f>
        <v>0.48198457989315202</v>
      </c>
      <c r="F17" s="15">
        <f>62733/131513</f>
        <v>0.47700987735052808</v>
      </c>
      <c r="G17" s="15">
        <f>64906/130418</f>
        <v>0.49767670106887085</v>
      </c>
      <c r="H17" s="15">
        <f>62007/131112</f>
        <v>0.47293153944719019</v>
      </c>
      <c r="I17" s="15">
        <f>62588/131793</f>
        <v>0.47489623879872223</v>
      </c>
      <c r="J17" s="15">
        <f>64314/136300</f>
        <v>0.47185619955979458</v>
      </c>
      <c r="K17" s="15">
        <v>0.48907175390346475</v>
      </c>
      <c r="L17" s="17">
        <v>0.46939336486210276</v>
      </c>
      <c r="M17" s="17">
        <v>0.18810135399886804</v>
      </c>
      <c r="N17" s="17">
        <v>0.56946363621924678</v>
      </c>
      <c r="O17" s="17">
        <v>0.6701534170153417</v>
      </c>
      <c r="P17" s="18">
        <v>8641</v>
      </c>
      <c r="Q17" s="18">
        <v>35854</v>
      </c>
      <c r="R17" s="18">
        <v>22103</v>
      </c>
      <c r="S17" s="17">
        <v>0.54974209325743406</v>
      </c>
      <c r="T17" s="17">
        <v>0.3150901409359177</v>
      </c>
      <c r="U17" s="17">
        <v>0.19526226734348562</v>
      </c>
      <c r="V17" s="17">
        <v>0.23381197507450555</v>
      </c>
      <c r="W17" s="18">
        <v>53502</v>
      </c>
      <c r="X17" s="18">
        <v>9770</v>
      </c>
      <c r="Y17" s="18">
        <v>577</v>
      </c>
      <c r="Z17" s="18">
        <v>1726</v>
      </c>
    </row>
    <row r="18" spans="1:26" x14ac:dyDescent="0.25">
      <c r="A18" s="29" t="s">
        <v>9</v>
      </c>
      <c r="B18" s="16">
        <f>353126/756224</f>
        <v>0.46695952522004064</v>
      </c>
      <c r="C18" s="16">
        <f>393222/829052</f>
        <v>0.4743031800176587</v>
      </c>
      <c r="D18" s="16">
        <f>352374/762309</f>
        <v>0.46224562480568904</v>
      </c>
      <c r="E18" s="16">
        <f>348919/774630</f>
        <v>0.45043311000090364</v>
      </c>
      <c r="F18" s="16">
        <f>343902/780364</f>
        <v>0.44069434264010127</v>
      </c>
      <c r="G18" s="16">
        <f>350611/815266</f>
        <v>0.43005718379032121</v>
      </c>
      <c r="H18" s="16">
        <f>347479/834204</f>
        <v>0.41653959942651919</v>
      </c>
      <c r="I18" s="16">
        <f>351584/849974</f>
        <v>0.41364088783892211</v>
      </c>
      <c r="J18" s="16">
        <f>374439/867915</f>
        <v>0.43142358410673859</v>
      </c>
      <c r="K18" s="16">
        <v>0.42769844547957109</v>
      </c>
      <c r="L18" s="20">
        <v>0.4187844848399197</v>
      </c>
      <c r="M18" s="20">
        <v>0.16655251772853538</v>
      </c>
      <c r="N18" s="20">
        <v>0.46611199017751376</v>
      </c>
      <c r="O18" s="20">
        <v>0.66577070400211336</v>
      </c>
      <c r="P18" s="21">
        <v>39152</v>
      </c>
      <c r="Q18" s="21">
        <v>215629</v>
      </c>
      <c r="R18" s="21">
        <v>100811</v>
      </c>
      <c r="S18" s="20">
        <v>0.55875751101100712</v>
      </c>
      <c r="T18" s="20">
        <v>0.28276513085180566</v>
      </c>
      <c r="U18" s="20">
        <v>0.38683563170633584</v>
      </c>
      <c r="V18" s="20">
        <v>0.45445616703101732</v>
      </c>
      <c r="W18" s="21">
        <v>144878</v>
      </c>
      <c r="X18" s="21">
        <v>59610</v>
      </c>
      <c r="Y18" s="21">
        <v>117311</v>
      </c>
      <c r="Z18" s="21">
        <v>28688</v>
      </c>
    </row>
    <row r="20" spans="1:26" x14ac:dyDescent="0.25">
      <c r="A20" s="7" t="s">
        <v>23</v>
      </c>
    </row>
    <row r="21" spans="1:26" ht="65.25" customHeight="1" x14ac:dyDescent="0.25">
      <c r="A21" s="45" t="s">
        <v>26</v>
      </c>
      <c r="B21" s="45"/>
      <c r="C21" s="45"/>
      <c r="D21" s="45"/>
      <c r="E21" s="45"/>
      <c r="F21" s="45"/>
    </row>
    <row r="23" spans="1:26" x14ac:dyDescent="0.25">
      <c r="A23" s="7" t="s">
        <v>24</v>
      </c>
    </row>
    <row r="24" spans="1:26" x14ac:dyDescent="0.25">
      <c r="A24" t="s">
        <v>43</v>
      </c>
    </row>
  </sheetData>
  <mergeCells count="1">
    <mergeCell ref="A21:F21"/>
  </mergeCells>
  <hyperlinks>
    <hyperlink ref="A3" r:id="rId1" xr:uid="{DC2CF403-90F6-4AD3-87B2-A94369815D52}"/>
  </hyperlinks>
  <pageMargins left="0.7" right="0.7" top="0.75" bottom="0.75" header="0.3" footer="0.3"/>
  <pageSetup orientation="portrait"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899A-44FF-4DD1-8E6E-5629EC093AF0}">
  <dimension ref="A1:Z24"/>
  <sheetViews>
    <sheetView zoomScale="90" zoomScaleNormal="90" workbookViewId="0">
      <selection activeCell="K15" sqref="K15"/>
    </sheetView>
  </sheetViews>
  <sheetFormatPr defaultRowHeight="15" x14ac:dyDescent="0.25"/>
  <cols>
    <col min="1" max="1" width="16.140625" customWidth="1"/>
    <col min="16" max="17" width="11.140625" bestFit="1" customWidth="1"/>
    <col min="18" max="18" width="10.285156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44</v>
      </c>
    </row>
    <row r="7" spans="1:26" x14ac:dyDescent="0.25">
      <c r="A7" s="7" t="s">
        <v>45</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9" t="s">
        <v>13</v>
      </c>
      <c r="T8" s="9" t="s">
        <v>14</v>
      </c>
      <c r="U8" s="9" t="s">
        <v>15</v>
      </c>
      <c r="V8" s="9" t="s">
        <v>16</v>
      </c>
      <c r="W8" s="9" t="s">
        <v>13</v>
      </c>
      <c r="X8" s="9" t="s">
        <v>14</v>
      </c>
      <c r="Y8" s="9" t="s">
        <v>15</v>
      </c>
      <c r="Z8" s="9" t="s">
        <v>16</v>
      </c>
    </row>
    <row r="9" spans="1:26" x14ac:dyDescent="0.25">
      <c r="A9" s="25" t="s">
        <v>3</v>
      </c>
      <c r="B9" s="15">
        <v>0.53979611220160828</v>
      </c>
      <c r="C9" s="15">
        <v>0.59769337656322374</v>
      </c>
      <c r="D9" s="15">
        <v>0.54615212694628623</v>
      </c>
      <c r="E9" s="15">
        <v>0.57193870475662179</v>
      </c>
      <c r="F9" s="15">
        <v>0.53180340594828002</v>
      </c>
      <c r="G9" s="15">
        <v>0.56439762334807164</v>
      </c>
      <c r="H9" s="15">
        <v>0.55014799399733028</v>
      </c>
      <c r="I9" s="15">
        <v>0.53541624179141001</v>
      </c>
      <c r="J9" s="15">
        <v>0.48941306972040066</v>
      </c>
      <c r="K9" s="15">
        <v>0.51267850218333244</v>
      </c>
      <c r="L9" s="17">
        <v>0.4939178764139765</v>
      </c>
      <c r="M9" s="17">
        <v>0.49498839678072382</v>
      </c>
      <c r="N9" s="17">
        <v>0.48940914158305465</v>
      </c>
      <c r="O9" s="17">
        <v>0.50502655049749956</v>
      </c>
      <c r="P9" s="18">
        <v>20050</v>
      </c>
      <c r="Q9" s="18">
        <v>28096</v>
      </c>
      <c r="R9" s="18">
        <v>9796</v>
      </c>
      <c r="S9" s="27" t="s">
        <v>10</v>
      </c>
      <c r="T9" s="27" t="s">
        <v>10</v>
      </c>
      <c r="U9" s="27" t="s">
        <v>10</v>
      </c>
      <c r="V9" s="27" t="s">
        <v>10</v>
      </c>
      <c r="W9" s="27" t="s">
        <v>10</v>
      </c>
      <c r="X9" s="27" t="s">
        <v>10</v>
      </c>
      <c r="Y9" s="27" t="s">
        <v>10</v>
      </c>
      <c r="Z9" s="27" t="s">
        <v>10</v>
      </c>
    </row>
    <row r="10" spans="1:26" x14ac:dyDescent="0.25">
      <c r="A10" s="25" t="s">
        <v>4</v>
      </c>
      <c r="B10" s="15">
        <v>0.50187426982318073</v>
      </c>
      <c r="C10" s="15">
        <v>0.49769943980316655</v>
      </c>
      <c r="D10" s="15">
        <v>0.51883097127500444</v>
      </c>
      <c r="E10" s="15">
        <v>0.53737722460730986</v>
      </c>
      <c r="F10" s="15">
        <v>0.50588748924586202</v>
      </c>
      <c r="G10" s="15">
        <v>0.51517328292375553</v>
      </c>
      <c r="H10" s="15">
        <v>0.52412486351082277</v>
      </c>
      <c r="I10" s="15">
        <v>0.54115342230929353</v>
      </c>
      <c r="J10" s="15">
        <v>0.50465882983844923</v>
      </c>
      <c r="K10" s="15">
        <v>0.50623190154440156</v>
      </c>
      <c r="L10" s="17">
        <v>0.50199584863483948</v>
      </c>
      <c r="M10" s="17">
        <v>0.49917245024270157</v>
      </c>
      <c r="N10" s="17">
        <v>0.48033803295396638</v>
      </c>
      <c r="O10" s="17">
        <v>0.5672490398373371</v>
      </c>
      <c r="P10" s="18">
        <v>35890</v>
      </c>
      <c r="Q10" s="18">
        <v>33933</v>
      </c>
      <c r="R10" s="18">
        <v>15065</v>
      </c>
      <c r="S10" s="27" t="s">
        <v>10</v>
      </c>
      <c r="T10" s="27" t="s">
        <v>10</v>
      </c>
      <c r="U10" s="27" t="s">
        <v>10</v>
      </c>
      <c r="V10" s="27" t="s">
        <v>10</v>
      </c>
      <c r="W10" s="27" t="s">
        <v>10</v>
      </c>
      <c r="X10" s="27" t="s">
        <v>10</v>
      </c>
      <c r="Y10" s="27" t="s">
        <v>10</v>
      </c>
      <c r="Z10" s="27" t="s">
        <v>10</v>
      </c>
    </row>
    <row r="11" spans="1:26" x14ac:dyDescent="0.25">
      <c r="A11" s="25" t="s">
        <v>2</v>
      </c>
      <c r="B11" s="15">
        <v>0.51854672876751562</v>
      </c>
      <c r="C11" s="15">
        <v>0.54567425042553075</v>
      </c>
      <c r="D11" s="15">
        <v>0.54904693321826947</v>
      </c>
      <c r="E11" s="15">
        <v>0.54875658929847293</v>
      </c>
      <c r="F11" s="15">
        <v>0.52304037827458871</v>
      </c>
      <c r="G11" s="15">
        <v>0.51015327231411323</v>
      </c>
      <c r="H11" s="15">
        <v>0.53224503138555568</v>
      </c>
      <c r="I11" s="15">
        <v>0.51014769969232987</v>
      </c>
      <c r="J11" s="15">
        <v>0.49304152257157791</v>
      </c>
      <c r="K11" s="15">
        <v>0.48922340501798706</v>
      </c>
      <c r="L11" s="17">
        <v>0.48563119989128956</v>
      </c>
      <c r="M11" s="17">
        <v>0.44398581931086989</v>
      </c>
      <c r="N11" s="17">
        <v>0.47098152770843732</v>
      </c>
      <c r="O11" s="17">
        <v>0.63829379572969935</v>
      </c>
      <c r="P11" s="18">
        <v>96808</v>
      </c>
      <c r="Q11" s="18">
        <v>117922</v>
      </c>
      <c r="R11" s="18">
        <v>53302</v>
      </c>
      <c r="S11" s="27" t="s">
        <v>10</v>
      </c>
      <c r="T11" s="27" t="s">
        <v>10</v>
      </c>
      <c r="U11" s="27" t="s">
        <v>10</v>
      </c>
      <c r="V11" s="27" t="s">
        <v>10</v>
      </c>
      <c r="W11" s="27" t="s">
        <v>10</v>
      </c>
      <c r="X11" s="27" t="s">
        <v>10</v>
      </c>
      <c r="Y11" s="27" t="s">
        <v>10</v>
      </c>
      <c r="Z11" s="27" t="s">
        <v>10</v>
      </c>
    </row>
    <row r="12" spans="1:26" x14ac:dyDescent="0.25">
      <c r="A12" s="25" t="s">
        <v>6</v>
      </c>
      <c r="B12" s="15">
        <v>0.59339138037815586</v>
      </c>
      <c r="C12" s="15">
        <v>0.57584956854372382</v>
      </c>
      <c r="D12" s="15">
        <v>0.5906927485671567</v>
      </c>
      <c r="E12" s="15">
        <v>0.58931733111520412</v>
      </c>
      <c r="F12" s="15">
        <v>0.5871915012061607</v>
      </c>
      <c r="G12" s="15">
        <v>0.58814672547066915</v>
      </c>
      <c r="H12" s="15">
        <v>0.58801089317412536</v>
      </c>
      <c r="I12" s="15">
        <v>0.52432286450538446</v>
      </c>
      <c r="J12" s="15">
        <v>0.54864300146950773</v>
      </c>
      <c r="K12" s="15">
        <v>0.52777897134017959</v>
      </c>
      <c r="L12" s="17">
        <v>0.51285529646759742</v>
      </c>
      <c r="M12" s="17">
        <v>0.4767804643907122</v>
      </c>
      <c r="N12" s="17">
        <v>0.54226772815028523</v>
      </c>
      <c r="O12" s="17">
        <v>0.50204426899760324</v>
      </c>
      <c r="P12" s="18">
        <v>15893</v>
      </c>
      <c r="Q12" s="18">
        <v>24998</v>
      </c>
      <c r="R12" s="18">
        <v>7122</v>
      </c>
      <c r="S12" s="27" t="s">
        <v>10</v>
      </c>
      <c r="T12" s="27" t="s">
        <v>10</v>
      </c>
      <c r="U12" s="27" t="s">
        <v>10</v>
      </c>
      <c r="V12" s="27" t="s">
        <v>10</v>
      </c>
      <c r="W12" s="27" t="s">
        <v>10</v>
      </c>
      <c r="X12" s="27" t="s">
        <v>10</v>
      </c>
      <c r="Y12" s="27" t="s">
        <v>10</v>
      </c>
      <c r="Z12" s="27" t="s">
        <v>10</v>
      </c>
    </row>
    <row r="13" spans="1:26" x14ac:dyDescent="0.25">
      <c r="A13" s="25" t="s">
        <v>5</v>
      </c>
      <c r="B13" s="15">
        <v>0.66158666340677152</v>
      </c>
      <c r="C13" s="15">
        <v>0.67932044785266898</v>
      </c>
      <c r="D13" s="15">
        <v>0.69755124567909599</v>
      </c>
      <c r="E13" s="15">
        <v>0.69323510965918134</v>
      </c>
      <c r="F13" s="15">
        <v>0.67178979131825789</v>
      </c>
      <c r="G13" s="15">
        <v>0.66113280377422556</v>
      </c>
      <c r="H13" s="15">
        <v>0.65308657413196614</v>
      </c>
      <c r="I13" s="15">
        <v>0.64352182655079015</v>
      </c>
      <c r="J13" s="15">
        <v>0.624048434481975</v>
      </c>
      <c r="K13" s="15">
        <v>0.58764276778606361</v>
      </c>
      <c r="L13" s="17">
        <v>0.56949546025537057</v>
      </c>
      <c r="M13" s="17">
        <v>0.52832429160166705</v>
      </c>
      <c r="N13" s="17">
        <v>0.60242367746446046</v>
      </c>
      <c r="O13" s="17">
        <v>0.55047660311958402</v>
      </c>
      <c r="P13" s="18">
        <v>22691</v>
      </c>
      <c r="Q13" s="18">
        <v>38775</v>
      </c>
      <c r="R13" s="18">
        <v>10164</v>
      </c>
      <c r="S13" s="27" t="s">
        <v>10</v>
      </c>
      <c r="T13" s="27" t="s">
        <v>10</v>
      </c>
      <c r="U13" s="27" t="s">
        <v>10</v>
      </c>
      <c r="V13" s="27" t="s">
        <v>10</v>
      </c>
      <c r="W13" s="27" t="s">
        <v>10</v>
      </c>
      <c r="X13" s="27" t="s">
        <v>10</v>
      </c>
      <c r="Y13" s="27" t="s">
        <v>10</v>
      </c>
      <c r="Z13" s="27" t="s">
        <v>10</v>
      </c>
    </row>
    <row r="14" spans="1:26" x14ac:dyDescent="0.25">
      <c r="A14" s="25" t="s">
        <v>9</v>
      </c>
      <c r="B14" s="15">
        <v>0.47210025780129711</v>
      </c>
      <c r="C14" s="15">
        <v>0.50248864352626665</v>
      </c>
      <c r="D14" s="15">
        <v>0.4967825727610839</v>
      </c>
      <c r="E14" s="15">
        <v>0.50469336359383243</v>
      </c>
      <c r="F14" s="15">
        <v>0.49910065229797185</v>
      </c>
      <c r="G14" s="15">
        <v>0.47773645432673195</v>
      </c>
      <c r="H14" s="15">
        <v>0.49684965581572105</v>
      </c>
      <c r="I14" s="15">
        <v>0.50446857429994452</v>
      </c>
      <c r="J14" s="15">
        <v>0.51615392838054519</v>
      </c>
      <c r="K14" s="15">
        <v>0.49669164531945154</v>
      </c>
      <c r="L14" s="17">
        <v>0.50125797669138139</v>
      </c>
      <c r="M14" s="17">
        <v>0.4903590014045775</v>
      </c>
      <c r="N14" s="17">
        <v>0.48220410651349876</v>
      </c>
      <c r="O14" s="17">
        <v>0.64218283297359757</v>
      </c>
      <c r="P14" s="18">
        <v>91119</v>
      </c>
      <c r="Q14" s="18">
        <v>112328</v>
      </c>
      <c r="R14" s="18">
        <v>29455</v>
      </c>
      <c r="S14" s="27" t="s">
        <v>10</v>
      </c>
      <c r="T14" s="27" t="s">
        <v>10</v>
      </c>
      <c r="U14" s="27" t="s">
        <v>10</v>
      </c>
      <c r="V14" s="27" t="s">
        <v>10</v>
      </c>
      <c r="W14" s="27" t="s">
        <v>10</v>
      </c>
      <c r="X14" s="27" t="s">
        <v>10</v>
      </c>
      <c r="Y14" s="27" t="s">
        <v>10</v>
      </c>
      <c r="Z14" s="27" t="s">
        <v>10</v>
      </c>
    </row>
    <row r="15" spans="1:26" x14ac:dyDescent="0.25">
      <c r="A15" s="25" t="s">
        <v>7</v>
      </c>
      <c r="B15" s="15">
        <v>0.54142393286964174</v>
      </c>
      <c r="C15" s="15">
        <v>0.55097997624300021</v>
      </c>
      <c r="D15" s="15">
        <v>0.58872970071131392</v>
      </c>
      <c r="E15" s="15">
        <v>0.58122403264526279</v>
      </c>
      <c r="F15" s="15">
        <v>0.56936778675909105</v>
      </c>
      <c r="G15" s="15">
        <v>0.57599376160530569</v>
      </c>
      <c r="H15" s="15">
        <v>0.57471178584755578</v>
      </c>
      <c r="I15" s="15">
        <v>0.56368421674737101</v>
      </c>
      <c r="J15" s="15">
        <v>0.53351485128721821</v>
      </c>
      <c r="K15" s="27" t="s">
        <v>10</v>
      </c>
      <c r="L15" s="17">
        <v>0.53866136514247842</v>
      </c>
      <c r="M15" s="17">
        <v>0.503831267068786</v>
      </c>
      <c r="N15" s="17">
        <v>0.54833682364973457</v>
      </c>
      <c r="O15" s="17">
        <v>0.59887930813908863</v>
      </c>
      <c r="P15" s="18">
        <v>51287</v>
      </c>
      <c r="Q15" s="18">
        <v>67554</v>
      </c>
      <c r="R15" s="18">
        <v>23406</v>
      </c>
      <c r="S15" s="27" t="s">
        <v>10</v>
      </c>
      <c r="T15" s="27" t="s">
        <v>10</v>
      </c>
      <c r="U15" s="27" t="s">
        <v>10</v>
      </c>
      <c r="V15" s="27" t="s">
        <v>10</v>
      </c>
      <c r="W15" s="27" t="s">
        <v>10</v>
      </c>
      <c r="X15" s="27" t="s">
        <v>10</v>
      </c>
      <c r="Y15" s="27" t="s">
        <v>10</v>
      </c>
      <c r="Z15" s="27" t="s">
        <v>10</v>
      </c>
    </row>
    <row r="16" spans="1:26" x14ac:dyDescent="0.25">
      <c r="A16" s="25" t="s">
        <v>1</v>
      </c>
      <c r="B16" s="15">
        <v>0.51794504962206123</v>
      </c>
      <c r="C16" s="15">
        <v>0.52702266351839522</v>
      </c>
      <c r="D16" s="15">
        <v>0.55877576394276873</v>
      </c>
      <c r="E16" s="15">
        <v>0.51759289093108074</v>
      </c>
      <c r="F16" s="15">
        <v>0.53789200125579939</v>
      </c>
      <c r="G16" s="15">
        <v>0.49263624256878497</v>
      </c>
      <c r="H16" s="15">
        <v>0.50962828978612518</v>
      </c>
      <c r="I16" s="15">
        <v>0.49815893883109946</v>
      </c>
      <c r="J16" s="15">
        <v>0.48679986818176268</v>
      </c>
      <c r="K16" s="15">
        <v>0.47560381102254456</v>
      </c>
      <c r="L16" s="17">
        <v>0.46931185818928084</v>
      </c>
      <c r="M16" s="17">
        <v>0.44371475622536055</v>
      </c>
      <c r="N16" s="17">
        <v>0.44748127218274347</v>
      </c>
      <c r="O16" s="17">
        <v>0.67148365841788027</v>
      </c>
      <c r="P16" s="18">
        <v>44458</v>
      </c>
      <c r="Q16" s="18">
        <v>58122</v>
      </c>
      <c r="R16" s="18">
        <v>17936</v>
      </c>
      <c r="S16" s="27" t="s">
        <v>10</v>
      </c>
      <c r="T16" s="27" t="s">
        <v>10</v>
      </c>
      <c r="U16" s="27" t="s">
        <v>10</v>
      </c>
      <c r="V16" s="27" t="s">
        <v>10</v>
      </c>
      <c r="W16" s="27" t="s">
        <v>10</v>
      </c>
      <c r="X16" s="27" t="s">
        <v>10</v>
      </c>
      <c r="Y16" s="27" t="s">
        <v>10</v>
      </c>
      <c r="Z16" s="27" t="s">
        <v>10</v>
      </c>
    </row>
    <row r="17" spans="1:26" x14ac:dyDescent="0.25">
      <c r="A17" s="25" t="s">
        <v>8</v>
      </c>
      <c r="B17" s="15">
        <v>0.54497906190612333</v>
      </c>
      <c r="C17" s="15">
        <v>0.4832471731001296</v>
      </c>
      <c r="D17" s="15">
        <v>0.5321700464865593</v>
      </c>
      <c r="E17" s="15">
        <v>0.49915153038778204</v>
      </c>
      <c r="F17" s="15">
        <v>0.48534130229631961</v>
      </c>
      <c r="G17" s="15">
        <v>0.50801604820907786</v>
      </c>
      <c r="H17" s="15">
        <v>0.49468517476395923</v>
      </c>
      <c r="I17" s="15">
        <v>0.49981599043150243</v>
      </c>
      <c r="J17" s="15">
        <v>0.44674634404181596</v>
      </c>
      <c r="K17" s="15">
        <v>0.45953293519921562</v>
      </c>
      <c r="L17" s="17">
        <v>0.49706794955734579</v>
      </c>
      <c r="M17" s="17">
        <v>0.49776740702330541</v>
      </c>
      <c r="N17" s="17">
        <v>0.46827065327415712</v>
      </c>
      <c r="O17" s="17">
        <v>0.56963180849984785</v>
      </c>
      <c r="P17" s="18">
        <v>17279</v>
      </c>
      <c r="Q17" s="18">
        <v>12028</v>
      </c>
      <c r="R17" s="18">
        <v>5616</v>
      </c>
      <c r="S17" s="27" t="s">
        <v>10</v>
      </c>
      <c r="T17" s="27" t="s">
        <v>10</v>
      </c>
      <c r="U17" s="27" t="s">
        <v>10</v>
      </c>
      <c r="V17" s="27" t="s">
        <v>10</v>
      </c>
      <c r="W17" s="27" t="s">
        <v>10</v>
      </c>
      <c r="X17" s="27" t="s">
        <v>10</v>
      </c>
      <c r="Y17" s="27" t="s">
        <v>10</v>
      </c>
      <c r="Z17" s="27" t="s">
        <v>10</v>
      </c>
    </row>
    <row r="18" spans="1:26" x14ac:dyDescent="0.25">
      <c r="A18" s="29" t="s">
        <v>0</v>
      </c>
      <c r="B18" s="16">
        <v>0.4747121938251822</v>
      </c>
      <c r="C18" s="16">
        <v>0.49127595803896384</v>
      </c>
      <c r="D18" s="16">
        <v>0.50697472626865014</v>
      </c>
      <c r="E18" s="16">
        <v>0.49267718389451376</v>
      </c>
      <c r="F18" s="16">
        <v>0.48124199312251364</v>
      </c>
      <c r="G18" s="16">
        <v>0.49457857452652887</v>
      </c>
      <c r="H18" s="16">
        <v>0.4863498810920095</v>
      </c>
      <c r="I18" s="16">
        <v>0.48364747962590593</v>
      </c>
      <c r="J18" s="16">
        <v>0.48417319895483391</v>
      </c>
      <c r="K18" s="16">
        <v>0.47908627975956114</v>
      </c>
      <c r="L18" s="20">
        <v>0.46485925774146453</v>
      </c>
      <c r="M18" s="20">
        <v>0.45043483595870976</v>
      </c>
      <c r="N18" s="20">
        <v>0.4396208614640762</v>
      </c>
      <c r="O18" s="20">
        <v>0.57950468945844313</v>
      </c>
      <c r="P18" s="21">
        <v>29367</v>
      </c>
      <c r="Q18" s="21">
        <v>29823</v>
      </c>
      <c r="R18" s="21">
        <v>13408</v>
      </c>
      <c r="S18" s="35" t="s">
        <v>10</v>
      </c>
      <c r="T18" s="35" t="s">
        <v>10</v>
      </c>
      <c r="U18" s="35" t="s">
        <v>10</v>
      </c>
      <c r="V18" s="35" t="s">
        <v>10</v>
      </c>
      <c r="W18" s="35" t="s">
        <v>10</v>
      </c>
      <c r="X18" s="35" t="s">
        <v>10</v>
      </c>
      <c r="Y18" s="35" t="s">
        <v>10</v>
      </c>
      <c r="Z18" s="35" t="s">
        <v>10</v>
      </c>
    </row>
    <row r="19" spans="1:26" x14ac:dyDescent="0.25">
      <c r="L19" s="2"/>
      <c r="M19" s="2"/>
      <c r="N19" s="2"/>
      <c r="O19" s="2"/>
      <c r="P19" s="2"/>
      <c r="Q19" s="2"/>
      <c r="R19" s="2"/>
    </row>
    <row r="20" spans="1:26" x14ac:dyDescent="0.25">
      <c r="A20" s="7" t="s">
        <v>23</v>
      </c>
    </row>
    <row r="21" spans="1:26" ht="62.25" customHeight="1" x14ac:dyDescent="0.25">
      <c r="A21" s="45" t="s">
        <v>26</v>
      </c>
      <c r="B21" s="45"/>
      <c r="C21" s="45"/>
      <c r="D21" s="45"/>
      <c r="E21" s="45"/>
      <c r="F21" s="45"/>
    </row>
    <row r="23" spans="1:26" x14ac:dyDescent="0.25">
      <c r="A23" s="7" t="s">
        <v>24</v>
      </c>
    </row>
    <row r="24" spans="1:26" x14ac:dyDescent="0.25">
      <c r="A24" t="s">
        <v>46</v>
      </c>
    </row>
  </sheetData>
  <mergeCells count="1">
    <mergeCell ref="A21:F21"/>
  </mergeCells>
  <hyperlinks>
    <hyperlink ref="A3" r:id="rId1" xr:uid="{20F79C50-61CE-47F1-AC17-3816C2EAA51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BF8C5-024A-44C0-B5F7-6CFB7496CFD8}">
  <dimension ref="A1:Z24"/>
  <sheetViews>
    <sheetView topLeftCell="A7" zoomScale="90" zoomScaleNormal="90" workbookViewId="0">
      <selection activeCell="AA31" sqref="AA31"/>
    </sheetView>
  </sheetViews>
  <sheetFormatPr defaultRowHeight="15" x14ac:dyDescent="0.25"/>
  <cols>
    <col min="1" max="1" width="12.85546875" bestFit="1" customWidth="1"/>
    <col min="2" max="15" width="9.140625" customWidth="1"/>
    <col min="16" max="16" width="11.85546875" bestFit="1" customWidth="1"/>
    <col min="23" max="23" width="14.140625" bestFit="1" customWidth="1"/>
    <col min="24" max="24" width="11.85546875" customWidth="1"/>
    <col min="25" max="25" width="10" customWidth="1"/>
    <col min="26" max="26" width="9.425781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47</v>
      </c>
    </row>
    <row r="7" spans="1:26" x14ac:dyDescent="0.25">
      <c r="A7" s="7" t="s">
        <v>48</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0" t="s">
        <v>13</v>
      </c>
      <c r="X8" s="10" t="s">
        <v>14</v>
      </c>
      <c r="Y8" s="10" t="s">
        <v>15</v>
      </c>
      <c r="Z8" s="10" t="s">
        <v>16</v>
      </c>
    </row>
    <row r="9" spans="1:26" x14ac:dyDescent="0.25">
      <c r="A9" s="25" t="s">
        <v>0</v>
      </c>
      <c r="B9" s="15">
        <f>108164/302634</f>
        <v>0.35740861899191761</v>
      </c>
      <c r="C9" s="15">
        <f>108046/291083</f>
        <v>0.37118622523472689</v>
      </c>
      <c r="D9" s="15">
        <f>113648/296717</f>
        <v>0.3830181620871066</v>
      </c>
      <c r="E9" s="15">
        <f>121460/306801</f>
        <v>0.39589179957040554</v>
      </c>
      <c r="F9" s="15">
        <f>125890/326143</f>
        <v>0.38599632676464007</v>
      </c>
      <c r="G9" s="15">
        <f>127045/330087</f>
        <v>0.38488337923032412</v>
      </c>
      <c r="H9" s="15">
        <f>123707/343062</f>
        <v>0.36059662684879118</v>
      </c>
      <c r="I9" s="15">
        <f>128135/358150</f>
        <v>0.35776909116292055</v>
      </c>
      <c r="J9" s="15">
        <f>130451/362204</f>
        <v>0.36015891597000588</v>
      </c>
      <c r="K9" s="15">
        <f>122643/375380</f>
        <v>0.32671692684746123</v>
      </c>
      <c r="L9" s="17">
        <v>0.34399999999999997</v>
      </c>
      <c r="M9" s="27" t="s">
        <v>10</v>
      </c>
      <c r="N9" s="27" t="s">
        <v>10</v>
      </c>
      <c r="O9" s="27" t="s">
        <v>10</v>
      </c>
      <c r="P9" s="27" t="s">
        <v>10</v>
      </c>
      <c r="Q9" s="27" t="s">
        <v>10</v>
      </c>
      <c r="R9" s="27" t="s">
        <v>10</v>
      </c>
      <c r="S9" s="17">
        <v>0.32374052608114134</v>
      </c>
      <c r="T9" s="17">
        <v>0.37068726937269375</v>
      </c>
      <c r="U9" s="17">
        <v>0.42054758551547994</v>
      </c>
      <c r="V9" s="17">
        <v>0.25807626281017532</v>
      </c>
      <c r="W9" s="18">
        <v>58092</v>
      </c>
      <c r="X9" s="18">
        <v>48219</v>
      </c>
      <c r="Y9" s="18">
        <v>17618</v>
      </c>
      <c r="Z9" s="18">
        <v>4961</v>
      </c>
    </row>
    <row r="10" spans="1:26" x14ac:dyDescent="0.25">
      <c r="A10" s="25" t="s">
        <v>1</v>
      </c>
      <c r="B10" s="15">
        <f>28308/721672</f>
        <v>3.9225576162023747E-2</v>
      </c>
      <c r="C10" s="15">
        <f>22153/688643</f>
        <v>3.216906292520217E-2</v>
      </c>
      <c r="D10" s="15">
        <f>19204/620072</f>
        <v>3.0970596962933337E-2</v>
      </c>
      <c r="E10" s="15">
        <f>25593/647188</f>
        <v>3.9544923577074974E-2</v>
      </c>
      <c r="F10" s="15">
        <f>21024/656502</f>
        <v>3.2024274107314218E-2</v>
      </c>
      <c r="G10" s="15">
        <f>26893/668896</f>
        <v>4.0205054298426066E-2</v>
      </c>
      <c r="H10" s="15">
        <f>23345/691350</f>
        <v>3.3767266941491285E-2</v>
      </c>
      <c r="I10" s="15">
        <f>25382/717880</f>
        <v>3.5356884158912354E-2</v>
      </c>
      <c r="J10" s="15">
        <f>22671/758639</f>
        <v>2.9883778714250124E-2</v>
      </c>
      <c r="K10" s="15">
        <f>21618/578267</f>
        <v>3.73841149503603E-2</v>
      </c>
      <c r="L10" s="17">
        <v>0.03</v>
      </c>
      <c r="M10" s="27" t="s">
        <v>10</v>
      </c>
      <c r="N10" s="27" t="s">
        <v>10</v>
      </c>
      <c r="O10" s="27" t="s">
        <v>10</v>
      </c>
      <c r="P10" s="27" t="s">
        <v>10</v>
      </c>
      <c r="Q10" s="27" t="s">
        <v>10</v>
      </c>
      <c r="R10" s="27" t="s">
        <v>10</v>
      </c>
      <c r="S10" s="17">
        <v>2.1721721197782814E-2</v>
      </c>
      <c r="T10" s="17">
        <v>7.3870989714597102E-2</v>
      </c>
      <c r="U10" s="17">
        <v>2.9050223738342752E-2</v>
      </c>
      <c r="V10" s="17">
        <v>2.5557576337704606E-2</v>
      </c>
      <c r="W10" s="18">
        <v>8300</v>
      </c>
      <c r="X10" s="18">
        <v>4338</v>
      </c>
      <c r="Y10" s="18">
        <v>9342</v>
      </c>
      <c r="Z10" s="18">
        <v>801</v>
      </c>
    </row>
    <row r="11" spans="1:26" x14ac:dyDescent="0.25">
      <c r="A11" s="25" t="s">
        <v>2</v>
      </c>
      <c r="B11" s="15">
        <f>336902/1260741</f>
        <v>0.26722538570570797</v>
      </c>
      <c r="C11" s="15">
        <f>337005/1271744</f>
        <v>0.26499436993608777</v>
      </c>
      <c r="D11" s="15">
        <f>309048/1168318</f>
        <v>0.26452387106934927</v>
      </c>
      <c r="E11" s="15">
        <f>330799/1199278</f>
        <v>0.27583179212826386</v>
      </c>
      <c r="F11" s="15">
        <f>320688/1218908</f>
        <v>0.26309450754281699</v>
      </c>
      <c r="G11" s="15">
        <f>346511/1245739</f>
        <v>0.27815698151860063</v>
      </c>
      <c r="H11" s="15">
        <f>354487/1255632</f>
        <v>0.28231758986709482</v>
      </c>
      <c r="I11" s="15">
        <f>363322/1284520</f>
        <v>0.28284651075888267</v>
      </c>
      <c r="J11" s="15">
        <f>371493/1318960</f>
        <v>0.28165600169830773</v>
      </c>
      <c r="K11" s="15">
        <f>376668/1329197</f>
        <v>0.28338011596475166</v>
      </c>
      <c r="L11" s="17">
        <v>0.28299999999999997</v>
      </c>
      <c r="M11" s="27" t="s">
        <v>10</v>
      </c>
      <c r="N11" s="27" t="s">
        <v>10</v>
      </c>
      <c r="O11" s="27" t="s">
        <v>10</v>
      </c>
      <c r="P11" s="27" t="s">
        <v>10</v>
      </c>
      <c r="Q11" s="27" t="s">
        <v>10</v>
      </c>
      <c r="R11" s="27" t="s">
        <v>10</v>
      </c>
      <c r="S11" s="17">
        <v>0.30066491701103287</v>
      </c>
      <c r="T11" s="17">
        <v>0.34103916907980714</v>
      </c>
      <c r="U11" s="17">
        <v>0.20508165949172166</v>
      </c>
      <c r="V11" s="17">
        <v>0.2838354270846038</v>
      </c>
      <c r="W11" s="18">
        <v>167489</v>
      </c>
      <c r="X11" s="18">
        <v>105170</v>
      </c>
      <c r="Y11" s="18">
        <v>72982</v>
      </c>
      <c r="Z11" s="18">
        <v>27926</v>
      </c>
    </row>
    <row r="12" spans="1:26" x14ac:dyDescent="0.25">
      <c r="A12" s="25" t="s">
        <v>3</v>
      </c>
      <c r="B12" s="15">
        <f>54624/280224</f>
        <v>0.19492977046933882</v>
      </c>
      <c r="C12" s="15">
        <f>45416/267185</f>
        <v>0.16997960214832419</v>
      </c>
      <c r="D12" s="15">
        <f>45277/256622</f>
        <v>0.17643460030706642</v>
      </c>
      <c r="E12" s="15">
        <f>45014/257758</f>
        <v>0.17463667471038727</v>
      </c>
      <c r="F12" s="15">
        <f>49701/258670</f>
        <v>0.19214056519890207</v>
      </c>
      <c r="G12" s="15">
        <f>50519/269410</f>
        <v>0.18751716714301622</v>
      </c>
      <c r="H12" s="15">
        <f>49594/266684</f>
        <v>0.18596541224820387</v>
      </c>
      <c r="I12" s="15">
        <f>52126/266469</f>
        <v>0.19561750147296683</v>
      </c>
      <c r="J12" s="15">
        <f>48454/280107</f>
        <v>0.17298389543995688</v>
      </c>
      <c r="K12" s="15">
        <f>52201/277580</f>
        <v>0.18805749693781973</v>
      </c>
      <c r="L12" s="17">
        <v>0.16200000000000001</v>
      </c>
      <c r="M12" s="27" t="s">
        <v>10</v>
      </c>
      <c r="N12" s="27" t="s">
        <v>10</v>
      </c>
      <c r="O12" s="27" t="s">
        <v>10</v>
      </c>
      <c r="P12" s="27" t="s">
        <v>10</v>
      </c>
      <c r="Q12" s="27" t="s">
        <v>10</v>
      </c>
      <c r="R12" s="27" t="s">
        <v>10</v>
      </c>
      <c r="S12" s="17">
        <v>8.6128310106286424E-2</v>
      </c>
      <c r="T12" s="17">
        <v>0.2113425513817182</v>
      </c>
      <c r="U12" s="17">
        <v>0.14900953282401461</v>
      </c>
      <c r="V12" s="17">
        <v>0.14976126703155934</v>
      </c>
      <c r="W12" s="18">
        <v>8541</v>
      </c>
      <c r="X12" s="18">
        <v>32052</v>
      </c>
      <c r="Y12" s="18">
        <v>2204</v>
      </c>
      <c r="Z12" s="18">
        <v>1286</v>
      </c>
    </row>
    <row r="13" spans="1:26" x14ac:dyDescent="0.25">
      <c r="A13" s="25" t="s">
        <v>4</v>
      </c>
      <c r="B13" s="15">
        <f>99100/318133</f>
        <v>0.31150493661456058</v>
      </c>
      <c r="C13" s="15">
        <f>116837/338393</f>
        <v>0.34527014447698384</v>
      </c>
      <c r="D13" s="15">
        <f>101628/309620</f>
        <v>0.32823461016730188</v>
      </c>
      <c r="E13" s="15">
        <f>101339/311164</f>
        <v>0.32567713488706918</v>
      </c>
      <c r="F13" s="15">
        <f>113088/326427</f>
        <v>0.3464419303550258</v>
      </c>
      <c r="G13" s="15">
        <f>112904/341777</f>
        <v>0.3303440547491493</v>
      </c>
      <c r="H13" s="15">
        <f>114692/337826</f>
        <v>0.33950021608757169</v>
      </c>
      <c r="I13" s="15">
        <f>124341/360257</f>
        <v>0.34514527129243844</v>
      </c>
      <c r="J13" s="15">
        <f>118670/362198</f>
        <v>0.3276384739838431</v>
      </c>
      <c r="K13" s="15">
        <f>129977/371220</f>
        <v>0.35013469101880285</v>
      </c>
      <c r="L13" s="17">
        <v>0.32200000000000001</v>
      </c>
      <c r="M13" s="27" t="s">
        <v>10</v>
      </c>
      <c r="N13" s="27" t="s">
        <v>10</v>
      </c>
      <c r="O13" s="27" t="s">
        <v>10</v>
      </c>
      <c r="P13" s="27" t="s">
        <v>10</v>
      </c>
      <c r="Q13" s="27" t="s">
        <v>10</v>
      </c>
      <c r="R13" s="27" t="s">
        <v>10</v>
      </c>
      <c r="S13" s="17">
        <v>0.27666346133745845</v>
      </c>
      <c r="T13" s="17">
        <v>0.36159562785708815</v>
      </c>
      <c r="U13" s="17">
        <v>0.38691137477965903</v>
      </c>
      <c r="V13" s="17">
        <v>0.37194375615726782</v>
      </c>
      <c r="W13" s="18">
        <v>52939</v>
      </c>
      <c r="X13" s="18">
        <v>28318</v>
      </c>
      <c r="Y13" s="18">
        <v>26120</v>
      </c>
      <c r="Z13" s="18">
        <v>12459</v>
      </c>
    </row>
    <row r="14" spans="1:26" x14ac:dyDescent="0.25">
      <c r="A14" s="25" t="s">
        <v>5</v>
      </c>
      <c r="B14" s="15">
        <f>23004/252731</f>
        <v>9.1021679176674017E-2</v>
      </c>
      <c r="C14" s="15">
        <f>19960/262217</f>
        <v>7.6120160020135996E-2</v>
      </c>
      <c r="D14" s="15">
        <f>16618/196706</f>
        <v>8.4481408802985172E-2</v>
      </c>
      <c r="E14" s="15">
        <f>19257/197750</f>
        <v>9.7380530973451326E-2</v>
      </c>
      <c r="F14" s="15">
        <f>18738/200188</f>
        <v>9.360201410673967E-2</v>
      </c>
      <c r="G14" s="15">
        <f>16642/206168</f>
        <v>8.0720577393193896E-2</v>
      </c>
      <c r="H14" s="15">
        <f>20210/218627</f>
        <v>9.2440549428936036E-2</v>
      </c>
      <c r="I14" s="15">
        <f>14609/216025</f>
        <v>6.7626432125911351E-2</v>
      </c>
      <c r="J14" s="15">
        <f>17992/233288</f>
        <v>7.7123555433627103E-2</v>
      </c>
      <c r="K14" s="15">
        <f>15529/228762</f>
        <v>6.7882777734064217E-2</v>
      </c>
      <c r="L14" s="17">
        <v>5.8999999999999997E-2</v>
      </c>
      <c r="M14" s="27" t="s">
        <v>10</v>
      </c>
      <c r="N14" s="27" t="s">
        <v>10</v>
      </c>
      <c r="O14" s="27" t="s">
        <v>10</v>
      </c>
      <c r="P14" s="27" t="s">
        <v>10</v>
      </c>
      <c r="Q14" s="27" t="s">
        <v>10</v>
      </c>
      <c r="R14" s="27" t="s">
        <v>10</v>
      </c>
      <c r="S14" s="17">
        <v>2.4237923235323904E-2</v>
      </c>
      <c r="T14" s="17">
        <v>6.6766626934258139E-2</v>
      </c>
      <c r="U14" s="17">
        <v>2.6713658187761773E-2</v>
      </c>
      <c r="V14" s="17">
        <v>6.4880626936395111E-2</v>
      </c>
      <c r="W14" s="18">
        <v>718</v>
      </c>
      <c r="X14" s="18">
        <v>12379</v>
      </c>
      <c r="Y14" s="18">
        <v>523</v>
      </c>
      <c r="Z14" s="18">
        <v>356</v>
      </c>
    </row>
    <row r="15" spans="1:26" x14ac:dyDescent="0.25">
      <c r="A15" s="25" t="s">
        <v>6</v>
      </c>
      <c r="B15" s="15">
        <f>19116/156827</f>
        <v>0.12189227620243963</v>
      </c>
      <c r="C15" s="15">
        <f>17648/157553</f>
        <v>0.11201310035353183</v>
      </c>
      <c r="D15" s="15">
        <f>16618/145467</f>
        <v>0.11423896828834031</v>
      </c>
      <c r="E15" s="15">
        <f>15527/144338</f>
        <v>0.10757388906594244</v>
      </c>
      <c r="F15" s="15">
        <f>14380/139881</f>
        <v>0.10280166713134736</v>
      </c>
      <c r="G15" s="15">
        <f>15848/146443</f>
        <v>0.10821958031452511</v>
      </c>
      <c r="H15" s="15">
        <f>15505/144093</f>
        <v>0.10760411678568702</v>
      </c>
      <c r="I15" s="15">
        <f>15591/144915</f>
        <v>0.10758720629334437</v>
      </c>
      <c r="J15" s="15">
        <f>15656/152566</f>
        <v>0.1026178834078366</v>
      </c>
      <c r="K15" s="15">
        <f>13404/155905</f>
        <v>8.5975433757737085E-2</v>
      </c>
      <c r="L15" s="17">
        <v>0.10299999999999999</v>
      </c>
      <c r="M15" s="27" t="s">
        <v>10</v>
      </c>
      <c r="N15" s="27" t="s">
        <v>10</v>
      </c>
      <c r="O15" s="27" t="s">
        <v>10</v>
      </c>
      <c r="P15" s="27" t="s">
        <v>10</v>
      </c>
      <c r="Q15" s="27" t="s">
        <v>10</v>
      </c>
      <c r="R15" s="27" t="s">
        <v>10</v>
      </c>
      <c r="S15" s="17">
        <v>4.5977011494252873E-2</v>
      </c>
      <c r="T15" s="17">
        <v>0.16746978794558029</v>
      </c>
      <c r="U15" s="17">
        <v>6.3219322418544333E-2</v>
      </c>
      <c r="V15" s="17">
        <v>0.14281077572216813</v>
      </c>
      <c r="W15" s="18">
        <v>2960</v>
      </c>
      <c r="X15" s="18">
        <v>11017</v>
      </c>
      <c r="Y15" s="18">
        <v>1170</v>
      </c>
      <c r="Z15" s="18">
        <v>880</v>
      </c>
    </row>
    <row r="16" spans="1:26" x14ac:dyDescent="0.25">
      <c r="A16" s="25" t="s">
        <v>7</v>
      </c>
      <c r="B16" s="15">
        <f>155123/578861</f>
        <v>0.26797970497235085</v>
      </c>
      <c r="C16" s="15">
        <f>153508/616150</f>
        <v>0.24914063133977116</v>
      </c>
      <c r="D16" s="15">
        <f>158717/583734</f>
        <v>0.27189952958025404</v>
      </c>
      <c r="E16" s="15">
        <f>149284/582455</f>
        <v>0.25630134516829628</v>
      </c>
      <c r="F16" s="15">
        <f>155891/600009</f>
        <v>0.25981443611679156</v>
      </c>
      <c r="G16" s="15">
        <f>170120/626208</f>
        <v>0.27166692217282434</v>
      </c>
      <c r="H16" s="15">
        <f>171304/638496</f>
        <v>0.26829298852302913</v>
      </c>
      <c r="I16" s="15">
        <f>166114/658498</f>
        <v>0.25226196586777788</v>
      </c>
      <c r="J16" s="15">
        <f>159059/662522</f>
        <v>0.24008108409984877</v>
      </c>
      <c r="K16" s="27" t="s">
        <v>10</v>
      </c>
      <c r="L16" s="17">
        <v>0.26400000000000001</v>
      </c>
      <c r="M16" s="27" t="s">
        <v>10</v>
      </c>
      <c r="N16" s="27" t="s">
        <v>10</v>
      </c>
      <c r="O16" s="27" t="s">
        <v>10</v>
      </c>
      <c r="P16" s="27" t="s">
        <v>10</v>
      </c>
      <c r="Q16" s="27" t="s">
        <v>10</v>
      </c>
      <c r="R16" s="27" t="s">
        <v>10</v>
      </c>
      <c r="S16" s="17">
        <v>0.17968565842565759</v>
      </c>
      <c r="T16" s="17">
        <v>0.38949596861461216</v>
      </c>
      <c r="U16" s="17">
        <v>0.23308150912483502</v>
      </c>
      <c r="V16" s="17">
        <v>0.19189682356901164</v>
      </c>
      <c r="W16" s="18">
        <v>51835</v>
      </c>
      <c r="X16" s="18">
        <v>98983</v>
      </c>
      <c r="Y16" s="18">
        <v>20486</v>
      </c>
      <c r="Z16" s="18">
        <v>10832</v>
      </c>
    </row>
    <row r="17" spans="1:26" x14ac:dyDescent="0.25">
      <c r="A17" s="25" t="s">
        <v>8</v>
      </c>
      <c r="B17" s="15">
        <f>28972/138832</f>
        <v>0.20868387691598478</v>
      </c>
      <c r="C17" s="15">
        <f>28111/147314</f>
        <v>0.19082368274569966</v>
      </c>
      <c r="D17" s="15">
        <f>25052/138929</f>
        <v>0.18032232291314268</v>
      </c>
      <c r="E17" s="15">
        <f>24470/135738</f>
        <v>0.18027376268988787</v>
      </c>
      <c r="F17" s="15">
        <f>25308/146828</f>
        <v>0.1723649440161277</v>
      </c>
      <c r="G17" s="15">
        <f>22058/148895</f>
        <v>0.1481446657040196</v>
      </c>
      <c r="H17" s="15">
        <f>25606/146493</f>
        <v>0.17479333483511159</v>
      </c>
      <c r="I17" s="15">
        <f>25429/146707</f>
        <v>0.17333187918776882</v>
      </c>
      <c r="J17" s="15">
        <f>27659/153019</f>
        <v>0.18075533103732216</v>
      </c>
      <c r="K17" s="15">
        <f>27064/152599</f>
        <v>0.17735371791427204</v>
      </c>
      <c r="L17" s="17">
        <v>0.186</v>
      </c>
      <c r="M17" s="27" t="s">
        <v>10</v>
      </c>
      <c r="N17" s="27" t="s">
        <v>10</v>
      </c>
      <c r="O17" s="27" t="s">
        <v>10</v>
      </c>
      <c r="P17" s="27" t="s">
        <v>10</v>
      </c>
      <c r="Q17" s="27" t="s">
        <v>10</v>
      </c>
      <c r="R17" s="27" t="s">
        <v>10</v>
      </c>
      <c r="S17" s="17">
        <v>0.1323430605240698</v>
      </c>
      <c r="T17" s="17">
        <v>0.34856851917126858</v>
      </c>
      <c r="U17" s="17">
        <v>0.3416622363990785</v>
      </c>
      <c r="V17" s="17">
        <v>0.28678678678678676</v>
      </c>
      <c r="W17" s="18">
        <v>14576</v>
      </c>
      <c r="X17" s="18">
        <v>8900</v>
      </c>
      <c r="Y17" s="18">
        <v>1928</v>
      </c>
      <c r="Z17" s="18">
        <v>2292</v>
      </c>
    </row>
    <row r="18" spans="1:26" x14ac:dyDescent="0.25">
      <c r="A18" s="29" t="s">
        <v>9</v>
      </c>
      <c r="B18" s="16">
        <f>40028/987666</f>
        <v>4.052787075792829E-2</v>
      </c>
      <c r="C18" s="16">
        <f>41627/1058450</f>
        <v>3.9328263026123106E-2</v>
      </c>
      <c r="D18" s="16">
        <f>43144/961240</f>
        <v>4.4883691897965129E-2</v>
      </c>
      <c r="E18" s="16">
        <f>43023/992606</f>
        <v>4.3343481703717289E-2</v>
      </c>
      <c r="F18" s="16">
        <f>44729/1007646</f>
        <v>4.4389597140265531E-2</v>
      </c>
      <c r="G18" s="16">
        <f>44129/1060632</f>
        <v>4.1606325285301594E-2</v>
      </c>
      <c r="H18" s="16">
        <f>46015/1086664</f>
        <v>4.2345195939131136E-2</v>
      </c>
      <c r="I18" s="16">
        <f>44996/1113447</f>
        <v>4.041144302333205E-2</v>
      </c>
      <c r="J18" s="16">
        <f>39832/1102954</f>
        <v>3.6113926782077949E-2</v>
      </c>
      <c r="K18" s="16">
        <f>43372/1083455</f>
        <v>4.003119649639348E-2</v>
      </c>
      <c r="L18" s="20">
        <v>3.7999999999999999E-2</v>
      </c>
      <c r="M18" s="35" t="s">
        <v>10</v>
      </c>
      <c r="N18" s="35" t="s">
        <v>10</v>
      </c>
      <c r="O18" s="35" t="s">
        <v>10</v>
      </c>
      <c r="P18" s="35" t="s">
        <v>10</v>
      </c>
      <c r="Q18" s="35" t="s">
        <v>10</v>
      </c>
      <c r="R18" s="35" t="s">
        <v>10</v>
      </c>
      <c r="S18" s="20">
        <v>2.1683273380094636E-2</v>
      </c>
      <c r="T18" s="20">
        <v>6.7590037052979848E-2</v>
      </c>
      <c r="U18" s="20">
        <v>3.277955074858134E-2</v>
      </c>
      <c r="V18" s="20">
        <v>4.1073794573420128E-2</v>
      </c>
      <c r="W18" s="21">
        <v>6498</v>
      </c>
      <c r="X18" s="21">
        <v>16016</v>
      </c>
      <c r="Y18" s="21">
        <v>15972</v>
      </c>
      <c r="Z18" s="21">
        <v>3565</v>
      </c>
    </row>
    <row r="19" spans="1:26" x14ac:dyDescent="0.25">
      <c r="L19" s="2"/>
      <c r="M19" s="3"/>
      <c r="N19" s="3"/>
      <c r="O19" s="3"/>
      <c r="P19" s="3"/>
      <c r="Q19" s="3"/>
      <c r="R19" s="3"/>
      <c r="S19" s="2"/>
      <c r="T19" s="2"/>
      <c r="U19" s="2"/>
      <c r="V19" s="2"/>
      <c r="W19" s="2"/>
      <c r="X19" s="2"/>
      <c r="Y19" s="2"/>
      <c r="Z19" s="2"/>
    </row>
    <row r="20" spans="1:26" x14ac:dyDescent="0.25">
      <c r="A20" s="7" t="s">
        <v>23</v>
      </c>
    </row>
    <row r="21" spans="1:26" ht="66" customHeight="1" x14ac:dyDescent="0.25">
      <c r="A21" s="45" t="s">
        <v>26</v>
      </c>
      <c r="B21" s="45"/>
      <c r="C21" s="45"/>
      <c r="D21" s="45"/>
      <c r="E21" s="45"/>
      <c r="F21" s="45"/>
    </row>
    <row r="23" spans="1:26" x14ac:dyDescent="0.25">
      <c r="A23" s="7" t="s">
        <v>24</v>
      </c>
    </row>
    <row r="24" spans="1:26" x14ac:dyDescent="0.25">
      <c r="A24" t="s">
        <v>49</v>
      </c>
    </row>
  </sheetData>
  <mergeCells count="1">
    <mergeCell ref="A21:F21"/>
  </mergeCells>
  <hyperlinks>
    <hyperlink ref="A3" r:id="rId1" xr:uid="{1E86354B-195A-4834-9960-047D5156F64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A754-FF0D-419F-ACED-C6827ABA4885}">
  <dimension ref="A1:Z24"/>
  <sheetViews>
    <sheetView topLeftCell="A12" zoomScale="90" zoomScaleNormal="90" workbookViewId="0">
      <selection activeCell="A21" sqref="A21:F21"/>
    </sheetView>
  </sheetViews>
  <sheetFormatPr defaultRowHeight="15" x14ac:dyDescent="0.25"/>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50</v>
      </c>
    </row>
    <row r="7" spans="1:26" x14ac:dyDescent="0.25">
      <c r="A7" s="7" t="s">
        <v>51</v>
      </c>
    </row>
    <row r="8" spans="1:26" x14ac:dyDescent="0.25">
      <c r="A8" s="9"/>
      <c r="B8" s="9">
        <v>2008</v>
      </c>
      <c r="C8" s="9">
        <v>2009</v>
      </c>
      <c r="D8" s="9">
        <v>2010</v>
      </c>
      <c r="E8" s="9">
        <v>2011</v>
      </c>
      <c r="F8" s="9">
        <v>2012</v>
      </c>
      <c r="G8" s="9">
        <v>2013</v>
      </c>
      <c r="H8" s="9">
        <v>2014</v>
      </c>
      <c r="I8" s="9">
        <v>2015</v>
      </c>
      <c r="J8" s="9">
        <v>2016</v>
      </c>
      <c r="K8" s="9">
        <v>2017</v>
      </c>
      <c r="L8" s="9">
        <v>2018</v>
      </c>
      <c r="M8" s="11" t="s">
        <v>17</v>
      </c>
      <c r="N8" s="11" t="s">
        <v>11</v>
      </c>
      <c r="O8" s="11" t="s">
        <v>12</v>
      </c>
      <c r="P8" s="11" t="s">
        <v>17</v>
      </c>
      <c r="Q8" s="11" t="s">
        <v>11</v>
      </c>
      <c r="R8" s="11" t="s">
        <v>12</v>
      </c>
      <c r="S8" s="9" t="s">
        <v>13</v>
      </c>
      <c r="T8" s="9" t="s">
        <v>14</v>
      </c>
      <c r="U8" s="9" t="s">
        <v>15</v>
      </c>
      <c r="V8" s="9" t="s">
        <v>16</v>
      </c>
      <c r="W8" s="9" t="s">
        <v>13</v>
      </c>
      <c r="X8" s="9" t="s">
        <v>14</v>
      </c>
      <c r="Y8" s="9" t="s">
        <v>15</v>
      </c>
      <c r="Z8" s="9" t="s">
        <v>16</v>
      </c>
    </row>
    <row r="9" spans="1:26" x14ac:dyDescent="0.25">
      <c r="A9" s="25" t="s">
        <v>3</v>
      </c>
      <c r="B9" s="37">
        <v>37.700000000000003</v>
      </c>
      <c r="C9" s="37">
        <v>38.355608057256219</v>
      </c>
      <c r="D9" s="37">
        <v>35.909533739663928</v>
      </c>
      <c r="E9" s="37">
        <v>31.751557760435301</v>
      </c>
      <c r="F9" s="37">
        <v>35</v>
      </c>
      <c r="G9" s="38">
        <v>37.429899260558685</v>
      </c>
      <c r="H9" s="37">
        <v>33.9</v>
      </c>
      <c r="I9" s="37">
        <v>55.2</v>
      </c>
      <c r="J9" s="37">
        <v>51.5</v>
      </c>
      <c r="K9" s="37">
        <v>55.8</v>
      </c>
      <c r="L9" s="38">
        <v>50.5</v>
      </c>
      <c r="M9" s="27" t="s">
        <v>10</v>
      </c>
      <c r="N9" s="27" t="s">
        <v>10</v>
      </c>
      <c r="O9" s="27" t="s">
        <v>10</v>
      </c>
      <c r="P9" s="27" t="s">
        <v>10</v>
      </c>
      <c r="Q9" s="27" t="s">
        <v>10</v>
      </c>
      <c r="R9" s="27" t="s">
        <v>10</v>
      </c>
      <c r="S9" s="27" t="s">
        <v>10</v>
      </c>
      <c r="T9" s="27" t="s">
        <v>10</v>
      </c>
      <c r="U9" s="27" t="s">
        <v>10</v>
      </c>
      <c r="V9" s="27" t="s">
        <v>10</v>
      </c>
      <c r="W9" s="27" t="s">
        <v>10</v>
      </c>
      <c r="X9" s="27" t="s">
        <v>10</v>
      </c>
      <c r="Y9" s="27" t="s">
        <v>10</v>
      </c>
      <c r="Z9" s="27" t="s">
        <v>10</v>
      </c>
    </row>
    <row r="10" spans="1:26" x14ac:dyDescent="0.25">
      <c r="A10" s="25" t="s">
        <v>4</v>
      </c>
      <c r="B10" s="37">
        <v>10.3</v>
      </c>
      <c r="C10" s="37">
        <v>8.161013532592639</v>
      </c>
      <c r="D10" s="37">
        <v>11.753832876597636</v>
      </c>
      <c r="E10" s="37">
        <v>9.992386752950134</v>
      </c>
      <c r="F10" s="37">
        <v>9.3000000000000007</v>
      </c>
      <c r="G10" s="38">
        <v>5.9714930110564497</v>
      </c>
      <c r="H10" s="37">
        <v>8.1999999999999993</v>
      </c>
      <c r="I10" s="37">
        <v>6.1</v>
      </c>
      <c r="J10" s="37">
        <v>6.9</v>
      </c>
      <c r="K10" s="37">
        <v>8.6</v>
      </c>
      <c r="L10" s="38">
        <v>8.1999999999999993</v>
      </c>
      <c r="M10" s="27" t="s">
        <v>10</v>
      </c>
      <c r="N10" s="27" t="s">
        <v>10</v>
      </c>
      <c r="O10" s="27" t="s">
        <v>10</v>
      </c>
      <c r="P10" s="27" t="s">
        <v>10</v>
      </c>
      <c r="Q10" s="27" t="s">
        <v>10</v>
      </c>
      <c r="R10" s="27" t="s">
        <v>10</v>
      </c>
      <c r="S10" s="27" t="s">
        <v>10</v>
      </c>
      <c r="T10" s="27" t="s">
        <v>10</v>
      </c>
      <c r="U10" s="27" t="s">
        <v>10</v>
      </c>
      <c r="V10" s="27" t="s">
        <v>10</v>
      </c>
      <c r="W10" s="27" t="s">
        <v>10</v>
      </c>
      <c r="X10" s="27" t="s">
        <v>10</v>
      </c>
      <c r="Y10" s="27" t="s">
        <v>10</v>
      </c>
      <c r="Z10" s="27" t="s">
        <v>10</v>
      </c>
    </row>
    <row r="11" spans="1:26" x14ac:dyDescent="0.25">
      <c r="A11" s="25" t="s">
        <v>2</v>
      </c>
      <c r="B11" s="37">
        <v>18.899999999999999</v>
      </c>
      <c r="C11" s="37">
        <v>16.981793885516012</v>
      </c>
      <c r="D11" s="37">
        <v>16.014656376261385</v>
      </c>
      <c r="E11" s="37">
        <v>15.914576755339045</v>
      </c>
      <c r="F11" s="37">
        <v>18.7</v>
      </c>
      <c r="G11" s="38">
        <v>15.256134359601756</v>
      </c>
      <c r="H11" s="37">
        <v>15</v>
      </c>
      <c r="I11" s="37">
        <v>17.2</v>
      </c>
      <c r="J11" s="37">
        <v>28</v>
      </c>
      <c r="K11" s="37">
        <v>24</v>
      </c>
      <c r="L11" s="38">
        <v>20.7</v>
      </c>
      <c r="M11" s="27" t="s">
        <v>10</v>
      </c>
      <c r="N11" s="27" t="s">
        <v>10</v>
      </c>
      <c r="O11" s="27" t="s">
        <v>10</v>
      </c>
      <c r="P11" s="27" t="s">
        <v>10</v>
      </c>
      <c r="Q11" s="27" t="s">
        <v>10</v>
      </c>
      <c r="R11" s="27" t="s">
        <v>10</v>
      </c>
      <c r="S11" s="27" t="s">
        <v>10</v>
      </c>
      <c r="T11" s="27" t="s">
        <v>10</v>
      </c>
      <c r="U11" s="27" t="s">
        <v>10</v>
      </c>
      <c r="V11" s="27" t="s">
        <v>10</v>
      </c>
      <c r="W11" s="27" t="s">
        <v>10</v>
      </c>
      <c r="X11" s="27" t="s">
        <v>10</v>
      </c>
      <c r="Y11" s="27" t="s">
        <v>10</v>
      </c>
      <c r="Z11" s="27" t="s">
        <v>10</v>
      </c>
    </row>
    <row r="12" spans="1:26" x14ac:dyDescent="0.25">
      <c r="A12" s="25" t="s">
        <v>6</v>
      </c>
      <c r="B12" s="37">
        <v>13.5</v>
      </c>
      <c r="C12" s="37">
        <v>20.658585758020756</v>
      </c>
      <c r="D12" s="37">
        <v>20.460228851448637</v>
      </c>
      <c r="E12" s="37">
        <v>18.848989031926113</v>
      </c>
      <c r="F12" s="37">
        <v>24.6</v>
      </c>
      <c r="G12" s="38">
        <v>14.805020433480788</v>
      </c>
      <c r="H12" s="37">
        <v>26.4</v>
      </c>
      <c r="I12" s="37">
        <v>30.8</v>
      </c>
      <c r="J12" s="37">
        <v>35</v>
      </c>
      <c r="K12" s="37">
        <v>33.700000000000003</v>
      </c>
      <c r="L12" s="38">
        <v>33.5</v>
      </c>
      <c r="M12" s="27" t="s">
        <v>10</v>
      </c>
      <c r="N12" s="27" t="s">
        <v>10</v>
      </c>
      <c r="O12" s="27" t="s">
        <v>10</v>
      </c>
      <c r="P12" s="27" t="s">
        <v>10</v>
      </c>
      <c r="Q12" s="27" t="s">
        <v>10</v>
      </c>
      <c r="R12" s="27" t="s">
        <v>10</v>
      </c>
      <c r="S12" s="27" t="s">
        <v>10</v>
      </c>
      <c r="T12" s="27" t="s">
        <v>10</v>
      </c>
      <c r="U12" s="27" t="s">
        <v>10</v>
      </c>
      <c r="V12" s="27" t="s">
        <v>10</v>
      </c>
      <c r="W12" s="27" t="s">
        <v>10</v>
      </c>
      <c r="X12" s="27" t="s">
        <v>10</v>
      </c>
      <c r="Y12" s="27" t="s">
        <v>10</v>
      </c>
      <c r="Z12" s="27" t="s">
        <v>10</v>
      </c>
    </row>
    <row r="13" spans="1:26" x14ac:dyDescent="0.25">
      <c r="A13" s="25" t="s">
        <v>5</v>
      </c>
      <c r="B13" s="37">
        <v>42.7</v>
      </c>
      <c r="C13" s="37">
        <v>49.647475569475688</v>
      </c>
      <c r="D13" s="37">
        <v>43.593205084936436</v>
      </c>
      <c r="E13" s="37">
        <v>48.791350314803495</v>
      </c>
      <c r="F13" s="37">
        <v>54.6</v>
      </c>
      <c r="G13" s="38">
        <v>45.67246196249944</v>
      </c>
      <c r="H13" s="37">
        <v>43.6</v>
      </c>
      <c r="I13" s="37">
        <v>43.4</v>
      </c>
      <c r="J13" s="37">
        <v>44.6</v>
      </c>
      <c r="K13" s="37">
        <v>39.700000000000003</v>
      </c>
      <c r="L13" s="38">
        <v>38.799999999999997</v>
      </c>
      <c r="M13" s="27" t="s">
        <v>10</v>
      </c>
      <c r="N13" s="27" t="s">
        <v>10</v>
      </c>
      <c r="O13" s="27" t="s">
        <v>10</v>
      </c>
      <c r="P13" s="27" t="s">
        <v>10</v>
      </c>
      <c r="Q13" s="27" t="s">
        <v>10</v>
      </c>
      <c r="R13" s="27" t="s">
        <v>10</v>
      </c>
      <c r="S13" s="27" t="s">
        <v>10</v>
      </c>
      <c r="T13" s="27" t="s">
        <v>10</v>
      </c>
      <c r="U13" s="27" t="s">
        <v>10</v>
      </c>
      <c r="V13" s="27" t="s">
        <v>10</v>
      </c>
      <c r="W13" s="27" t="s">
        <v>10</v>
      </c>
      <c r="X13" s="27" t="s">
        <v>10</v>
      </c>
      <c r="Y13" s="27" t="s">
        <v>10</v>
      </c>
      <c r="Z13" s="27" t="s">
        <v>10</v>
      </c>
    </row>
    <row r="14" spans="1:26" x14ac:dyDescent="0.25">
      <c r="A14" s="25" t="s">
        <v>9</v>
      </c>
      <c r="B14" s="37">
        <v>14.3</v>
      </c>
      <c r="C14" s="37">
        <v>13.74959637508899</v>
      </c>
      <c r="D14" s="37">
        <v>12.819009876832666</v>
      </c>
      <c r="E14" s="37">
        <v>9.3214063271634728</v>
      </c>
      <c r="F14" s="37">
        <v>10.1</v>
      </c>
      <c r="G14" s="38">
        <v>9.9070129615209765</v>
      </c>
      <c r="H14" s="37">
        <v>11</v>
      </c>
      <c r="I14" s="37">
        <v>13.2</v>
      </c>
      <c r="J14" s="37">
        <v>13.2</v>
      </c>
      <c r="K14" s="37">
        <v>11.7</v>
      </c>
      <c r="L14" s="38">
        <v>12.1</v>
      </c>
      <c r="M14" s="27" t="s">
        <v>10</v>
      </c>
      <c r="N14" s="27" t="s">
        <v>10</v>
      </c>
      <c r="O14" s="27" t="s">
        <v>10</v>
      </c>
      <c r="P14" s="27" t="s">
        <v>10</v>
      </c>
      <c r="Q14" s="27" t="s">
        <v>10</v>
      </c>
      <c r="R14" s="27" t="s">
        <v>10</v>
      </c>
      <c r="S14" s="27" t="s">
        <v>10</v>
      </c>
      <c r="T14" s="27" t="s">
        <v>10</v>
      </c>
      <c r="U14" s="27" t="s">
        <v>10</v>
      </c>
      <c r="V14" s="27" t="s">
        <v>10</v>
      </c>
      <c r="W14" s="27" t="s">
        <v>10</v>
      </c>
      <c r="X14" s="27" t="s">
        <v>10</v>
      </c>
      <c r="Y14" s="27" t="s">
        <v>10</v>
      </c>
      <c r="Z14" s="27" t="s">
        <v>10</v>
      </c>
    </row>
    <row r="15" spans="1:26" x14ac:dyDescent="0.25">
      <c r="A15" s="25" t="s">
        <v>7</v>
      </c>
      <c r="B15" s="37">
        <v>22.1</v>
      </c>
      <c r="C15" s="37">
        <v>19.93802048466555</v>
      </c>
      <c r="D15" s="37">
        <v>20.022338648413623</v>
      </c>
      <c r="E15" s="37">
        <v>21.034562903081301</v>
      </c>
      <c r="F15" s="37">
        <v>21.6</v>
      </c>
      <c r="G15" s="38">
        <v>15.849884270176998</v>
      </c>
      <c r="H15" s="37">
        <v>16</v>
      </c>
      <c r="I15" s="37">
        <v>17.899999999999999</v>
      </c>
      <c r="J15" s="37">
        <v>17.7</v>
      </c>
      <c r="K15" s="37">
        <v>20.2</v>
      </c>
      <c r="L15" s="38">
        <v>22.2</v>
      </c>
      <c r="M15" s="27" t="s">
        <v>10</v>
      </c>
      <c r="N15" s="27" t="s">
        <v>10</v>
      </c>
      <c r="O15" s="27" t="s">
        <v>10</v>
      </c>
      <c r="P15" s="27" t="s">
        <v>10</v>
      </c>
      <c r="Q15" s="27" t="s">
        <v>10</v>
      </c>
      <c r="R15" s="27" t="s">
        <v>10</v>
      </c>
      <c r="S15" s="27" t="s">
        <v>10</v>
      </c>
      <c r="T15" s="27" t="s">
        <v>10</v>
      </c>
      <c r="U15" s="27" t="s">
        <v>10</v>
      </c>
      <c r="V15" s="27" t="s">
        <v>10</v>
      </c>
      <c r="W15" s="27" t="s">
        <v>10</v>
      </c>
      <c r="X15" s="27" t="s">
        <v>10</v>
      </c>
      <c r="Y15" s="27" t="s">
        <v>10</v>
      </c>
      <c r="Z15" s="27" t="s">
        <v>10</v>
      </c>
    </row>
    <row r="16" spans="1:26" x14ac:dyDescent="0.25">
      <c r="A16" s="25" t="s">
        <v>1</v>
      </c>
      <c r="B16" s="37">
        <v>11.5</v>
      </c>
      <c r="C16" s="37">
        <v>6.1266115914114545</v>
      </c>
      <c r="D16" s="37">
        <v>8.003891547269534</v>
      </c>
      <c r="E16" s="37">
        <v>7.8908773295094328</v>
      </c>
      <c r="F16" s="37">
        <v>7.9</v>
      </c>
      <c r="G16" s="38">
        <v>7.7258704044165789</v>
      </c>
      <c r="H16" s="37">
        <v>7.7</v>
      </c>
      <c r="I16" s="37">
        <v>7.4</v>
      </c>
      <c r="J16" s="37">
        <v>9.4</v>
      </c>
      <c r="K16" s="37">
        <v>10</v>
      </c>
      <c r="L16" s="38">
        <v>8.4</v>
      </c>
      <c r="M16" s="27" t="s">
        <v>10</v>
      </c>
      <c r="N16" s="27" t="s">
        <v>10</v>
      </c>
      <c r="O16" s="27" t="s">
        <v>10</v>
      </c>
      <c r="P16" s="27" t="s">
        <v>10</v>
      </c>
      <c r="Q16" s="27" t="s">
        <v>10</v>
      </c>
      <c r="R16" s="27" t="s">
        <v>10</v>
      </c>
      <c r="S16" s="27" t="s">
        <v>10</v>
      </c>
      <c r="T16" s="27" t="s">
        <v>10</v>
      </c>
      <c r="U16" s="27" t="s">
        <v>10</v>
      </c>
      <c r="V16" s="27" t="s">
        <v>10</v>
      </c>
      <c r="W16" s="27" t="s">
        <v>10</v>
      </c>
      <c r="X16" s="27" t="s">
        <v>10</v>
      </c>
      <c r="Y16" s="27" t="s">
        <v>10</v>
      </c>
      <c r="Z16" s="27" t="s">
        <v>10</v>
      </c>
    </row>
    <row r="17" spans="1:26" x14ac:dyDescent="0.25">
      <c r="A17" s="25" t="s">
        <v>8</v>
      </c>
      <c r="B17" s="37">
        <v>23.4</v>
      </c>
      <c r="C17" s="37">
        <v>12.721401311282905</v>
      </c>
      <c r="D17" s="37">
        <v>18.00857863200288</v>
      </c>
      <c r="E17" s="37">
        <v>14.374058744164621</v>
      </c>
      <c r="F17" s="37">
        <v>13.7</v>
      </c>
      <c r="G17" s="38">
        <v>14.656930122271367</v>
      </c>
      <c r="H17" s="37">
        <v>23.2</v>
      </c>
      <c r="I17" s="37">
        <v>19.600000000000001</v>
      </c>
      <c r="J17" s="37">
        <v>18.399999999999999</v>
      </c>
      <c r="K17" s="37">
        <v>18.8</v>
      </c>
      <c r="L17" s="38">
        <v>17.899999999999999</v>
      </c>
      <c r="M17" s="27" t="s">
        <v>10</v>
      </c>
      <c r="N17" s="27" t="s">
        <v>10</v>
      </c>
      <c r="O17" s="27" t="s">
        <v>10</v>
      </c>
      <c r="P17" s="27" t="s">
        <v>10</v>
      </c>
      <c r="Q17" s="27" t="s">
        <v>10</v>
      </c>
      <c r="R17" s="27" t="s">
        <v>10</v>
      </c>
      <c r="S17" s="27" t="s">
        <v>10</v>
      </c>
      <c r="T17" s="27" t="s">
        <v>10</v>
      </c>
      <c r="U17" s="27" t="s">
        <v>10</v>
      </c>
      <c r="V17" s="27" t="s">
        <v>10</v>
      </c>
      <c r="W17" s="27" t="s">
        <v>10</v>
      </c>
      <c r="X17" s="27" t="s">
        <v>10</v>
      </c>
      <c r="Y17" s="27" t="s">
        <v>10</v>
      </c>
      <c r="Z17" s="27" t="s">
        <v>10</v>
      </c>
    </row>
    <row r="18" spans="1:26" x14ac:dyDescent="0.25">
      <c r="A18" s="29" t="s">
        <v>0</v>
      </c>
      <c r="B18" s="39">
        <v>34.4</v>
      </c>
      <c r="C18" s="39">
        <v>24.314959779004031</v>
      </c>
      <c r="D18" s="39">
        <v>21.81511688440467</v>
      </c>
      <c r="E18" s="39">
        <v>17.430544123485724</v>
      </c>
      <c r="F18" s="39">
        <v>14.2</v>
      </c>
      <c r="G18" s="40">
        <v>15.83565358969668</v>
      </c>
      <c r="H18" s="39">
        <v>16.2</v>
      </c>
      <c r="I18" s="39">
        <v>24.6</v>
      </c>
      <c r="J18" s="39">
        <v>20.100000000000001</v>
      </c>
      <c r="K18" s="39">
        <v>17</v>
      </c>
      <c r="L18" s="40">
        <v>23.1</v>
      </c>
      <c r="M18" s="35" t="s">
        <v>10</v>
      </c>
      <c r="N18" s="35" t="s">
        <v>10</v>
      </c>
      <c r="O18" s="35" t="s">
        <v>10</v>
      </c>
      <c r="P18" s="35" t="s">
        <v>10</v>
      </c>
      <c r="Q18" s="35" t="s">
        <v>10</v>
      </c>
      <c r="R18" s="35" t="s">
        <v>10</v>
      </c>
      <c r="S18" s="35" t="s">
        <v>10</v>
      </c>
      <c r="T18" s="35" t="s">
        <v>10</v>
      </c>
      <c r="U18" s="35" t="s">
        <v>10</v>
      </c>
      <c r="V18" s="35" t="s">
        <v>10</v>
      </c>
      <c r="W18" s="35" t="s">
        <v>10</v>
      </c>
      <c r="X18" s="35" t="s">
        <v>10</v>
      </c>
      <c r="Y18" s="35" t="s">
        <v>10</v>
      </c>
      <c r="Z18" s="35" t="s">
        <v>10</v>
      </c>
    </row>
    <row r="20" spans="1:26" x14ac:dyDescent="0.25">
      <c r="A20" s="7" t="s">
        <v>23</v>
      </c>
    </row>
    <row r="21" spans="1:26" ht="81.75" customHeight="1" x14ac:dyDescent="0.25">
      <c r="A21" s="45"/>
      <c r="B21" s="45"/>
      <c r="C21" s="45"/>
      <c r="D21" s="45"/>
      <c r="E21" s="45"/>
      <c r="F21" s="45"/>
    </row>
    <row r="23" spans="1:26" x14ac:dyDescent="0.25">
      <c r="A23" s="7" t="s">
        <v>24</v>
      </c>
    </row>
    <row r="24" spans="1:26" x14ac:dyDescent="0.25">
      <c r="A24" t="s">
        <v>52</v>
      </c>
    </row>
  </sheetData>
  <mergeCells count="1">
    <mergeCell ref="A21:F21"/>
  </mergeCells>
  <hyperlinks>
    <hyperlink ref="A3" r:id="rId1" xr:uid="{2F6CAA99-6202-4C6C-AB53-8D2276BCD2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34F08-336B-4BF2-99B3-F5F0175B29D0}">
  <dimension ref="A1:V23"/>
  <sheetViews>
    <sheetView topLeftCell="A8" zoomScale="90" zoomScaleNormal="90" workbookViewId="0">
      <selection activeCell="S11" sqref="S11"/>
    </sheetView>
  </sheetViews>
  <sheetFormatPr defaultRowHeight="15" x14ac:dyDescent="0.25"/>
  <cols>
    <col min="1" max="1" width="15.7109375" bestFit="1" customWidth="1"/>
    <col min="2" max="12" width="11.140625" bestFit="1" customWidth="1"/>
    <col min="13" max="13" width="13.5703125" bestFit="1" customWidth="1"/>
    <col min="14" max="14" width="13.85546875" bestFit="1" customWidth="1"/>
    <col min="15" max="15" width="12.140625" bestFit="1" customWidth="1"/>
  </cols>
  <sheetData>
    <row r="1" spans="1:22" x14ac:dyDescent="0.25">
      <c r="A1" s="7" t="s">
        <v>18</v>
      </c>
    </row>
    <row r="2" spans="1:22" x14ac:dyDescent="0.25">
      <c r="A2" s="7" t="s">
        <v>19</v>
      </c>
    </row>
    <row r="3" spans="1:22" x14ac:dyDescent="0.25">
      <c r="A3" s="8" t="s">
        <v>20</v>
      </c>
    </row>
    <row r="4" spans="1:22" x14ac:dyDescent="0.25">
      <c r="A4" s="7" t="s">
        <v>21</v>
      </c>
    </row>
    <row r="5" spans="1:22" x14ac:dyDescent="0.25">
      <c r="A5" s="7"/>
    </row>
    <row r="6" spans="1:22" x14ac:dyDescent="0.25">
      <c r="A6" s="7" t="s">
        <v>70</v>
      </c>
    </row>
    <row r="7" spans="1:22" x14ac:dyDescent="0.25">
      <c r="A7" s="9"/>
      <c r="B7" s="9">
        <v>2008</v>
      </c>
      <c r="C7" s="9">
        <v>2009</v>
      </c>
      <c r="D7" s="9">
        <v>2010</v>
      </c>
      <c r="E7" s="9">
        <v>2011</v>
      </c>
      <c r="F7" s="9">
        <v>2012</v>
      </c>
      <c r="G7" s="9">
        <v>2013</v>
      </c>
      <c r="H7" s="9">
        <v>2014</v>
      </c>
      <c r="I7" s="9">
        <v>2015</v>
      </c>
      <c r="J7" s="9">
        <v>2016</v>
      </c>
      <c r="K7" s="9">
        <v>2017</v>
      </c>
      <c r="L7" s="9">
        <v>2018</v>
      </c>
      <c r="M7" s="11" t="s">
        <v>17</v>
      </c>
      <c r="N7" s="11" t="s">
        <v>11</v>
      </c>
      <c r="O7" s="11" t="s">
        <v>12</v>
      </c>
      <c r="P7" s="11" t="s">
        <v>17</v>
      </c>
      <c r="Q7" s="11" t="s">
        <v>11</v>
      </c>
      <c r="R7" s="11" t="s">
        <v>12</v>
      </c>
      <c r="S7" s="9" t="s">
        <v>13</v>
      </c>
      <c r="T7" s="9" t="s">
        <v>14</v>
      </c>
      <c r="U7" s="9" t="s">
        <v>15</v>
      </c>
      <c r="V7" s="9" t="s">
        <v>16</v>
      </c>
    </row>
    <row r="8" spans="1:22" x14ac:dyDescent="0.25">
      <c r="A8" s="25" t="s">
        <v>3</v>
      </c>
      <c r="B8" s="32">
        <v>620184</v>
      </c>
      <c r="C8" s="32">
        <v>620509</v>
      </c>
      <c r="D8" s="32">
        <v>621005</v>
      </c>
      <c r="E8" s="32">
        <v>620442</v>
      </c>
      <c r="F8" s="32">
        <v>622973</v>
      </c>
      <c r="G8" s="32">
        <v>622497</v>
      </c>
      <c r="H8" s="32">
        <v>623165</v>
      </c>
      <c r="I8" s="32">
        <v>622150</v>
      </c>
      <c r="J8" s="32">
        <v>615150</v>
      </c>
      <c r="K8" s="32">
        <v>609841</v>
      </c>
      <c r="L8" s="32">
        <v>602495</v>
      </c>
      <c r="M8" s="32">
        <v>302465.40000000002</v>
      </c>
      <c r="N8" s="32">
        <v>226637</v>
      </c>
      <c r="O8" s="32">
        <v>82552</v>
      </c>
      <c r="P8" s="15">
        <f t="shared" ref="P8:P17" si="0">M8/K8</f>
        <v>0.495974196552872</v>
      </c>
      <c r="Q8" s="15">
        <f t="shared" ref="Q8:Q17" si="1">N8/J8</f>
        <v>0.36842558725514102</v>
      </c>
      <c r="R8" s="15">
        <f t="shared" ref="R8:R17" si="2">O8/I8</f>
        <v>0.13268825845857107</v>
      </c>
      <c r="S8" s="15">
        <v>0.27500000000000002</v>
      </c>
      <c r="T8" s="15">
        <v>0.627</v>
      </c>
      <c r="U8" s="15">
        <v>5.2999999999999999E-2</v>
      </c>
      <c r="V8" s="15">
        <v>2.7E-2</v>
      </c>
    </row>
    <row r="9" spans="1:22" x14ac:dyDescent="0.25">
      <c r="A9" s="25" t="s">
        <v>4</v>
      </c>
      <c r="B9" s="32">
        <v>600685</v>
      </c>
      <c r="C9" s="32">
        <v>612669</v>
      </c>
      <c r="D9" s="32">
        <v>621074</v>
      </c>
      <c r="E9" s="32">
        <v>630480</v>
      </c>
      <c r="F9" s="32">
        <v>643003</v>
      </c>
      <c r="G9" s="32">
        <v>653103</v>
      </c>
      <c r="H9" s="32">
        <v>663017</v>
      </c>
      <c r="I9" s="32">
        <v>670791</v>
      </c>
      <c r="J9" s="32">
        <v>680470</v>
      </c>
      <c r="K9" s="32">
        <v>688276</v>
      </c>
      <c r="L9" s="32">
        <v>694583</v>
      </c>
      <c r="M9" s="32">
        <v>374037.9</v>
      </c>
      <c r="N9" s="32">
        <v>228998</v>
      </c>
      <c r="O9" s="32">
        <v>79984</v>
      </c>
      <c r="P9" s="15">
        <f t="shared" si="0"/>
        <v>0.54344172977119642</v>
      </c>
      <c r="Q9" s="15">
        <f t="shared" si="1"/>
        <v>0.33652916366628949</v>
      </c>
      <c r="R9" s="15">
        <f t="shared" si="2"/>
        <v>0.11923833205871874</v>
      </c>
      <c r="S9" s="15">
        <v>0.439</v>
      </c>
      <c r="T9" s="15">
        <v>0.25900000000000001</v>
      </c>
      <c r="U9" s="15">
        <v>0.20399999999999999</v>
      </c>
      <c r="V9" s="15">
        <v>9.7000000000000003E-2</v>
      </c>
    </row>
    <row r="10" spans="1:22" x14ac:dyDescent="0.25">
      <c r="A10" s="25" t="s">
        <v>2</v>
      </c>
      <c r="B10" s="32">
        <v>2697359</v>
      </c>
      <c r="C10" s="32">
        <v>2697006</v>
      </c>
      <c r="D10" s="32">
        <v>2697529</v>
      </c>
      <c r="E10" s="32">
        <v>2708209</v>
      </c>
      <c r="F10" s="32">
        <v>2719735</v>
      </c>
      <c r="G10" s="32">
        <v>2726772</v>
      </c>
      <c r="H10" s="32">
        <v>2728524</v>
      </c>
      <c r="I10" s="32">
        <v>2726215</v>
      </c>
      <c r="J10" s="32">
        <v>2718946</v>
      </c>
      <c r="K10" s="32">
        <v>2713067</v>
      </c>
      <c r="L10" s="32">
        <v>2705994</v>
      </c>
      <c r="M10" s="32">
        <f>(172017+150373+155283+153896+205271+288032+254158)</f>
        <v>1379030</v>
      </c>
      <c r="N10" s="32">
        <f>(201327+171763+164748+161728+159607+145721)</f>
        <v>1004894</v>
      </c>
      <c r="O10" s="32">
        <f>(110327+84822+56312+43917+37160)</f>
        <v>332538</v>
      </c>
      <c r="P10" s="15">
        <f t="shared" si="0"/>
        <v>0.50829190727689366</v>
      </c>
      <c r="Q10" s="15">
        <f t="shared" si="1"/>
        <v>0.36958953947595868</v>
      </c>
      <c r="R10" s="15">
        <f t="shared" si="2"/>
        <v>0.12197790709830296</v>
      </c>
      <c r="S10" s="15">
        <v>0.32900000000000001</v>
      </c>
      <c r="T10" s="15">
        <v>0.29799999999999999</v>
      </c>
      <c r="U10" s="15">
        <v>0.28999999999999998</v>
      </c>
      <c r="V10" s="15">
        <v>6.7000000000000004E-2</v>
      </c>
    </row>
    <row r="11" spans="1:22" x14ac:dyDescent="0.25">
      <c r="A11" s="25" t="s">
        <v>6</v>
      </c>
      <c r="B11" s="32">
        <v>408261</v>
      </c>
      <c r="C11" s="32">
        <v>401770</v>
      </c>
      <c r="D11" s="32">
        <v>395890</v>
      </c>
      <c r="E11" s="32">
        <v>392594</v>
      </c>
      <c r="F11" s="32">
        <v>391500</v>
      </c>
      <c r="G11" s="32">
        <v>391759</v>
      </c>
      <c r="H11" s="32">
        <v>390850</v>
      </c>
      <c r="I11" s="32">
        <v>389248</v>
      </c>
      <c r="J11" s="32">
        <v>387708</v>
      </c>
      <c r="K11" s="32">
        <v>385428</v>
      </c>
      <c r="L11" s="32">
        <v>383793</v>
      </c>
      <c r="M11" s="32">
        <v>186162.5</v>
      </c>
      <c r="N11" s="32">
        <v>146463</v>
      </c>
      <c r="O11" s="32">
        <v>52933</v>
      </c>
      <c r="P11" s="15">
        <f t="shared" si="0"/>
        <v>0.48300201334620213</v>
      </c>
      <c r="Q11" s="15">
        <f t="shared" si="1"/>
        <v>0.37776625708007056</v>
      </c>
      <c r="R11" s="15">
        <f t="shared" si="2"/>
        <v>0.13598785350213746</v>
      </c>
      <c r="S11" s="15">
        <v>0.32900000000000001</v>
      </c>
      <c r="T11" s="15">
        <v>0.48699999999999999</v>
      </c>
      <c r="U11" s="15">
        <v>0.124</v>
      </c>
      <c r="V11" s="15">
        <v>2.4E-2</v>
      </c>
    </row>
    <row r="12" spans="1:22" x14ac:dyDescent="0.25">
      <c r="A12" s="25" t="s">
        <v>5</v>
      </c>
      <c r="B12" s="32">
        <v>756383</v>
      </c>
      <c r="C12" s="32">
        <v>731155</v>
      </c>
      <c r="D12" s="32">
        <v>711120</v>
      </c>
      <c r="E12" s="32">
        <v>705043</v>
      </c>
      <c r="F12" s="32">
        <v>700159</v>
      </c>
      <c r="G12" s="32">
        <v>691883</v>
      </c>
      <c r="H12" s="32">
        <v>682669</v>
      </c>
      <c r="I12" s="32">
        <v>679305</v>
      </c>
      <c r="J12" s="32">
        <v>676883</v>
      </c>
      <c r="K12" s="32">
        <v>674188</v>
      </c>
      <c r="L12" s="32">
        <v>672662</v>
      </c>
      <c r="M12" s="32">
        <v>339316.5</v>
      </c>
      <c r="N12" s="32">
        <v>239338</v>
      </c>
      <c r="O12" s="32">
        <v>94456</v>
      </c>
      <c r="P12" s="15">
        <f t="shared" si="0"/>
        <v>0.5032965582300486</v>
      </c>
      <c r="Q12" s="15">
        <f t="shared" si="1"/>
        <v>0.3535884340425155</v>
      </c>
      <c r="R12" s="15">
        <f t="shared" si="2"/>
        <v>0.1390479975857678</v>
      </c>
      <c r="S12" s="15">
        <v>0.105</v>
      </c>
      <c r="T12" s="15">
        <v>0.79</v>
      </c>
      <c r="U12" s="15">
        <v>7.1999999999999995E-2</v>
      </c>
      <c r="V12" s="15">
        <v>1.7999999999999999E-2</v>
      </c>
    </row>
    <row r="13" spans="1:22" x14ac:dyDescent="0.25">
      <c r="A13" s="25" t="s">
        <v>9</v>
      </c>
      <c r="B13" s="32">
        <v>2060477</v>
      </c>
      <c r="C13" s="32">
        <v>2087334</v>
      </c>
      <c r="D13" s="32">
        <v>2098446</v>
      </c>
      <c r="E13" s="32">
        <v>2124143</v>
      </c>
      <c r="F13" s="32">
        <v>2160086</v>
      </c>
      <c r="G13" s="32">
        <v>2198280</v>
      </c>
      <c r="H13" s="32">
        <v>2240982</v>
      </c>
      <c r="I13" s="32">
        <v>2286630</v>
      </c>
      <c r="J13" s="32">
        <v>2309752</v>
      </c>
      <c r="K13" s="32">
        <v>2317445</v>
      </c>
      <c r="L13" s="32">
        <v>2325502</v>
      </c>
      <c r="M13" s="32">
        <v>1234601.1000000001</v>
      </c>
      <c r="N13" s="32">
        <v>832525</v>
      </c>
      <c r="O13" s="32">
        <v>246112</v>
      </c>
      <c r="P13" s="15">
        <f t="shared" si="0"/>
        <v>0.53274235202992959</v>
      </c>
      <c r="Q13" s="15">
        <f t="shared" si="1"/>
        <v>0.36043912939570999</v>
      </c>
      <c r="R13" s="15">
        <f t="shared" si="2"/>
        <v>0.10763088037854834</v>
      </c>
      <c r="S13" s="15">
        <v>0.247</v>
      </c>
      <c r="T13" s="15">
        <v>0.22900000000000001</v>
      </c>
      <c r="U13" s="15">
        <v>0.44600000000000001</v>
      </c>
      <c r="V13" s="15">
        <v>6.5000000000000002E-2</v>
      </c>
    </row>
    <row r="14" spans="1:22" x14ac:dyDescent="0.25">
      <c r="A14" s="25" t="s">
        <v>7</v>
      </c>
      <c r="B14" s="32">
        <v>1499731</v>
      </c>
      <c r="C14" s="32">
        <v>1514694</v>
      </c>
      <c r="D14" s="32">
        <v>1528293</v>
      </c>
      <c r="E14" s="32">
        <v>1540322</v>
      </c>
      <c r="F14" s="32">
        <v>1551797</v>
      </c>
      <c r="G14" s="32">
        <v>1558371</v>
      </c>
      <c r="H14" s="32">
        <v>1565604</v>
      </c>
      <c r="I14" s="32">
        <v>1571258</v>
      </c>
      <c r="J14" s="32">
        <v>1576390</v>
      </c>
      <c r="K14" s="32">
        <v>1580221</v>
      </c>
      <c r="L14" s="32">
        <v>1584138</v>
      </c>
      <c r="M14" s="32">
        <v>804989.7</v>
      </c>
      <c r="N14" s="32">
        <v>564164</v>
      </c>
      <c r="O14" s="32">
        <v>211716</v>
      </c>
      <c r="P14" s="15">
        <f t="shared" si="0"/>
        <v>0.5094158981560174</v>
      </c>
      <c r="Q14" s="15">
        <f t="shared" si="1"/>
        <v>0.35788351867240975</v>
      </c>
      <c r="R14" s="15">
        <f t="shared" si="2"/>
        <v>0.1347429893753922</v>
      </c>
      <c r="S14" s="15">
        <v>0.34499999999999997</v>
      </c>
      <c r="T14" s="15">
        <v>0.42</v>
      </c>
      <c r="U14" s="15">
        <v>0.14799999999999999</v>
      </c>
      <c r="V14" s="15">
        <v>7.2999999999999995E-2</v>
      </c>
    </row>
    <row r="15" spans="1:22" x14ac:dyDescent="0.25">
      <c r="A15" s="25" t="s">
        <v>1</v>
      </c>
      <c r="B15" s="32">
        <v>1456729</v>
      </c>
      <c r="C15" s="32">
        <v>1452679</v>
      </c>
      <c r="D15" s="32">
        <v>1449295</v>
      </c>
      <c r="E15" s="32">
        <v>1470052</v>
      </c>
      <c r="F15" s="32">
        <v>1499839</v>
      </c>
      <c r="G15" s="32">
        <v>1527336</v>
      </c>
      <c r="H15" s="32">
        <v>1556552</v>
      </c>
      <c r="I15" s="32">
        <v>1584927</v>
      </c>
      <c r="J15" s="32">
        <v>1613581</v>
      </c>
      <c r="K15" s="32">
        <v>1634984</v>
      </c>
      <c r="L15" s="32">
        <v>1660272</v>
      </c>
      <c r="M15" s="32">
        <v>842229.4</v>
      </c>
      <c r="N15" s="32">
        <v>609483</v>
      </c>
      <c r="O15" s="32">
        <v>174380</v>
      </c>
      <c r="P15" s="15">
        <f t="shared" si="0"/>
        <v>0.51513005631859399</v>
      </c>
      <c r="Q15" s="15">
        <f t="shared" si="1"/>
        <v>0.37772073419307739</v>
      </c>
      <c r="R15" s="15">
        <f t="shared" si="2"/>
        <v>0.11002399479597483</v>
      </c>
      <c r="S15" s="15">
        <v>0.41799999999999998</v>
      </c>
      <c r="T15" s="15">
        <v>7.1999999999999995E-2</v>
      </c>
      <c r="U15" s="15">
        <v>0.42899999999999999</v>
      </c>
      <c r="V15" s="15">
        <v>0.04</v>
      </c>
    </row>
    <row r="16" spans="1:22" x14ac:dyDescent="0.25">
      <c r="A16" s="25" t="s">
        <v>8</v>
      </c>
      <c r="B16" s="32">
        <v>307673</v>
      </c>
      <c r="C16" s="32">
        <v>306570</v>
      </c>
      <c r="D16" s="32">
        <v>305410</v>
      </c>
      <c r="E16" s="32">
        <v>306107</v>
      </c>
      <c r="F16" s="32">
        <v>306470</v>
      </c>
      <c r="G16" s="32">
        <v>307022</v>
      </c>
      <c r="H16" s="32">
        <v>306092</v>
      </c>
      <c r="I16" s="32">
        <v>304211</v>
      </c>
      <c r="J16" s="32">
        <v>304814</v>
      </c>
      <c r="K16" s="32">
        <v>301720</v>
      </c>
      <c r="L16" s="32">
        <v>301048</v>
      </c>
      <c r="M16" s="32">
        <v>159713.60000000001</v>
      </c>
      <c r="N16" s="32">
        <v>96025</v>
      </c>
      <c r="O16" s="32">
        <v>46680</v>
      </c>
      <c r="P16" s="15">
        <f t="shared" si="0"/>
        <v>0.52934376242874193</v>
      </c>
      <c r="Q16" s="15">
        <f t="shared" si="1"/>
        <v>0.31502818112028974</v>
      </c>
      <c r="R16" s="15">
        <f t="shared" si="2"/>
        <v>0.15344612785205006</v>
      </c>
      <c r="S16" s="15">
        <v>0.65</v>
      </c>
      <c r="T16" s="15">
        <v>0.221</v>
      </c>
      <c r="U16" s="15">
        <v>0.03</v>
      </c>
      <c r="V16" s="15">
        <v>6.5000000000000002E-2</v>
      </c>
    </row>
    <row r="17" spans="1:22" x14ac:dyDescent="0.25">
      <c r="A17" s="29" t="s">
        <v>0</v>
      </c>
      <c r="B17" s="33">
        <v>580236</v>
      </c>
      <c r="C17" s="33">
        <v>592228</v>
      </c>
      <c r="D17" s="33">
        <v>605085</v>
      </c>
      <c r="E17" s="33">
        <v>619602</v>
      </c>
      <c r="F17" s="33">
        <v>634725</v>
      </c>
      <c r="G17" s="33">
        <v>650431</v>
      </c>
      <c r="H17" s="33">
        <v>662513</v>
      </c>
      <c r="I17" s="33">
        <v>675254</v>
      </c>
      <c r="J17" s="33">
        <v>686575</v>
      </c>
      <c r="K17" s="33">
        <v>695691</v>
      </c>
      <c r="L17" s="33">
        <v>702455</v>
      </c>
      <c r="M17" s="33">
        <v>361718.5</v>
      </c>
      <c r="N17" s="33">
        <v>248268</v>
      </c>
      <c r="O17" s="33">
        <v>83992</v>
      </c>
      <c r="P17" s="16">
        <f t="shared" si="0"/>
        <v>0.519941324524825</v>
      </c>
      <c r="Q17" s="16">
        <f t="shared" si="1"/>
        <v>0.3616036121326876</v>
      </c>
      <c r="R17" s="16">
        <f t="shared" si="2"/>
        <v>0.12438578668175235</v>
      </c>
      <c r="S17" s="16">
        <v>0.36499999999999999</v>
      </c>
      <c r="T17" s="16">
        <v>0.45900000000000002</v>
      </c>
      <c r="U17" s="16">
        <v>0.11</v>
      </c>
      <c r="V17" s="16">
        <v>4.1000000000000002E-2</v>
      </c>
    </row>
    <row r="19" spans="1:22" x14ac:dyDescent="0.25">
      <c r="A19" s="7" t="s">
        <v>23</v>
      </c>
    </row>
    <row r="20" spans="1:22" ht="62.25" customHeight="1" x14ac:dyDescent="0.25">
      <c r="A20" s="45"/>
      <c r="B20" s="45"/>
      <c r="C20" s="45"/>
      <c r="D20" s="45"/>
      <c r="E20" s="45"/>
      <c r="F20" s="45"/>
    </row>
    <row r="22" spans="1:22" x14ac:dyDescent="0.25">
      <c r="A22" s="7" t="s">
        <v>24</v>
      </c>
    </row>
    <row r="23" spans="1:22" x14ac:dyDescent="0.25">
      <c r="A23" t="s">
        <v>71</v>
      </c>
    </row>
  </sheetData>
  <mergeCells count="1">
    <mergeCell ref="A20:F20"/>
  </mergeCells>
  <hyperlinks>
    <hyperlink ref="A3" r:id="rId1" xr:uid="{3E93DD54-5A41-4C02-99E8-4393B3DA118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235B-4E3C-4BCA-A13F-64A815CD0588}">
  <dimension ref="A1:Z24"/>
  <sheetViews>
    <sheetView topLeftCell="A6" zoomScale="90" zoomScaleNormal="90" workbookViewId="0">
      <selection activeCell="A21" sqref="A21:F21"/>
    </sheetView>
  </sheetViews>
  <sheetFormatPr defaultRowHeight="15" x14ac:dyDescent="0.25"/>
  <cols>
    <col min="1" max="1" width="12.42578125" bestFit="1" customWidth="1"/>
    <col min="16" max="16" width="9.7109375" customWidth="1"/>
    <col min="17" max="18" width="11.140625" bestFit="1" customWidth="1"/>
    <col min="26" max="26" width="10.5703125"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67</v>
      </c>
    </row>
    <row r="7" spans="1:26" x14ac:dyDescent="0.25">
      <c r="A7" s="7" t="s">
        <v>68</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0" t="s">
        <v>13</v>
      </c>
      <c r="X8" s="10" t="s">
        <v>14</v>
      </c>
      <c r="Y8" s="10" t="s">
        <v>15</v>
      </c>
      <c r="Z8" s="10" t="s">
        <v>16</v>
      </c>
    </row>
    <row r="9" spans="1:26" x14ac:dyDescent="0.25">
      <c r="A9" s="25" t="s">
        <v>3</v>
      </c>
      <c r="B9" s="15">
        <v>5.8596148018821861E-2</v>
      </c>
      <c r="C9" s="15">
        <v>6.4860107496179903E-2</v>
      </c>
      <c r="D9" s="15">
        <v>7.0884958176424429E-2</v>
      </c>
      <c r="E9" s="15">
        <v>7.4393092415894937E-2</v>
      </c>
      <c r="F9" s="15">
        <v>7.4709258347254809E-2</v>
      </c>
      <c r="G9" s="15">
        <v>7.1243714877255254E-2</v>
      </c>
      <c r="H9" s="15">
        <v>7.8070883905246205E-2</v>
      </c>
      <c r="I9" s="15">
        <v>8.0175412358948872E-2</v>
      </c>
      <c r="J9" s="15">
        <v>8.1442869600301948E-2</v>
      </c>
      <c r="K9" s="15">
        <v>8.749967301454431E-2</v>
      </c>
      <c r="L9" s="17">
        <v>7.92587490352617E-2</v>
      </c>
      <c r="M9" s="17">
        <v>6.75947356861685E-2</v>
      </c>
      <c r="N9" s="17">
        <v>9.9590508425817292E-2</v>
      </c>
      <c r="O9" s="17">
        <v>6.6516789779823712E-2</v>
      </c>
      <c r="P9" s="18">
        <v>20005</v>
      </c>
      <c r="Q9" s="18">
        <v>22156</v>
      </c>
      <c r="R9" s="18">
        <v>5592</v>
      </c>
      <c r="S9" s="17">
        <v>4.5305346030831639E-2</v>
      </c>
      <c r="T9" s="17">
        <v>4.2562637220715488E-2</v>
      </c>
      <c r="U9" s="17">
        <v>0.41320589213877379</v>
      </c>
      <c r="V9" s="17">
        <v>0.59967721110393801</v>
      </c>
      <c r="W9" s="18">
        <v>7550</v>
      </c>
      <c r="X9" s="18">
        <v>15819</v>
      </c>
      <c r="Y9" s="18">
        <v>13661</v>
      </c>
      <c r="Z9" s="18">
        <v>9289</v>
      </c>
    </row>
    <row r="10" spans="1:26" x14ac:dyDescent="0.25">
      <c r="A10" s="25" t="s">
        <v>4</v>
      </c>
      <c r="B10" s="15">
        <v>0.26922569044246025</v>
      </c>
      <c r="C10" s="15">
        <v>0.2506870101226466</v>
      </c>
      <c r="D10" s="15">
        <v>0.26925583738209768</v>
      </c>
      <c r="E10" s="15">
        <v>0.26472993060455796</v>
      </c>
      <c r="F10" s="15">
        <v>0.26238086573513447</v>
      </c>
      <c r="G10" s="15">
        <v>0.27734175055451288</v>
      </c>
      <c r="H10" s="15">
        <v>0.27595263173137452</v>
      </c>
      <c r="I10" s="15">
        <v>0.28399074490379689</v>
      </c>
      <c r="J10" s="15">
        <v>0.28872243029546402</v>
      </c>
      <c r="K10" s="15">
        <v>0.29271685102084144</v>
      </c>
      <c r="L10" s="17">
        <v>0.27929549980888774</v>
      </c>
      <c r="M10" s="17">
        <v>0.19133764244736912</v>
      </c>
      <c r="N10" s="17">
        <v>0.38742870659973189</v>
      </c>
      <c r="O10" s="17">
        <v>0.39091659184119204</v>
      </c>
      <c r="P10" s="18">
        <v>73709</v>
      </c>
      <c r="Q10" s="18">
        <v>88443</v>
      </c>
      <c r="R10" s="18">
        <v>32217</v>
      </c>
      <c r="S10" s="17">
        <v>0.11189394551774311</v>
      </c>
      <c r="T10" s="17">
        <v>0.33297229573077913</v>
      </c>
      <c r="U10" s="17">
        <v>0.41745277935439373</v>
      </c>
      <c r="V10" s="17">
        <v>0.66882479890131452</v>
      </c>
      <c r="W10" s="18">
        <v>34606</v>
      </c>
      <c r="X10" s="18">
        <v>56873</v>
      </c>
      <c r="Y10" s="18">
        <v>58104</v>
      </c>
      <c r="Z10" s="18">
        <v>44317</v>
      </c>
    </row>
    <row r="11" spans="1:26" x14ac:dyDescent="0.25">
      <c r="A11" s="25" t="s">
        <v>2</v>
      </c>
      <c r="B11" s="15">
        <v>0.2140465555699437</v>
      </c>
      <c r="C11" s="15">
        <v>0.2064478467301549</v>
      </c>
      <c r="D11" s="15">
        <v>0.2066353913972383</v>
      </c>
      <c r="E11" s="15">
        <v>0.2139271100722058</v>
      </c>
      <c r="F11" s="15">
        <v>0.21367894435186699</v>
      </c>
      <c r="G11" s="15">
        <v>0.21072911505821157</v>
      </c>
      <c r="H11" s="15">
        <v>0.20489919398532255</v>
      </c>
      <c r="I11" s="15">
        <v>0.21078889756358626</v>
      </c>
      <c r="J11" s="15">
        <v>0.20688733495627484</v>
      </c>
      <c r="K11" s="15">
        <v>0.20750814846664523</v>
      </c>
      <c r="L11" s="17">
        <v>0.1998301544574477</v>
      </c>
      <c r="M11" s="17">
        <v>0.10884439565239204</v>
      </c>
      <c r="N11" s="17">
        <v>0.29093163506730185</v>
      </c>
      <c r="O11" s="17">
        <v>0.29174291988836526</v>
      </c>
      <c r="P11" s="18">
        <v>147529</v>
      </c>
      <c r="Q11" s="18">
        <v>291183</v>
      </c>
      <c r="R11" s="18">
        <v>102026</v>
      </c>
      <c r="S11" s="17">
        <v>0.12738171959376876</v>
      </c>
      <c r="T11" s="17">
        <v>4.1297121339604684E-2</v>
      </c>
      <c r="U11" s="17">
        <v>0.33506896831436112</v>
      </c>
      <c r="V11" s="17">
        <v>0.68071158471810167</v>
      </c>
      <c r="W11" s="18">
        <v>114641</v>
      </c>
      <c r="X11" s="18">
        <v>32934</v>
      </c>
      <c r="Y11" s="18">
        <v>260235</v>
      </c>
      <c r="Z11" s="18">
        <v>123671</v>
      </c>
    </row>
    <row r="12" spans="1:26" x14ac:dyDescent="0.25">
      <c r="A12" s="25" t="s">
        <v>6</v>
      </c>
      <c r="B12" s="15">
        <v>4.6086630515485137E-2</v>
      </c>
      <c r="C12" s="15">
        <v>4.5193326363275992E-2</v>
      </c>
      <c r="D12" s="15">
        <v>4.4768322228952148E-2</v>
      </c>
      <c r="E12" s="15">
        <v>5.3051771947466249E-2</v>
      </c>
      <c r="F12" s="15">
        <v>4.2954750679801396E-2</v>
      </c>
      <c r="G12" s="15">
        <v>4.4095707320574405E-2</v>
      </c>
      <c r="H12" s="15">
        <v>5.0810733099886013E-2</v>
      </c>
      <c r="I12" s="15">
        <v>4.8523549254108268E-2</v>
      </c>
      <c r="J12" s="15">
        <v>5.530183250822944E-2</v>
      </c>
      <c r="K12" s="15">
        <v>5.7040295472465453E-2</v>
      </c>
      <c r="L12" s="17">
        <v>5.6902243727542531E-2</v>
      </c>
      <c r="M12" s="17">
        <v>4.4036717027710254E-2</v>
      </c>
      <c r="N12" s="17">
        <v>5.7595161616231995E-2</v>
      </c>
      <c r="O12" s="17">
        <v>9.8693706038183976E-2</v>
      </c>
      <c r="P12" s="18">
        <v>8170</v>
      </c>
      <c r="Q12" s="18">
        <v>8266</v>
      </c>
      <c r="R12" s="18">
        <v>5402</v>
      </c>
      <c r="S12" s="17">
        <v>5.228608503167697E-2</v>
      </c>
      <c r="T12" s="17">
        <v>6.0877694676638805E-3</v>
      </c>
      <c r="U12" s="17">
        <v>9.9609706431359246E-2</v>
      </c>
      <c r="V12" s="17">
        <v>0.72737546726940794</v>
      </c>
      <c r="W12" s="18">
        <v>6850</v>
      </c>
      <c r="X12" s="18">
        <v>1107</v>
      </c>
      <c r="Y12" s="18">
        <v>4696</v>
      </c>
      <c r="Z12" s="18">
        <v>8367</v>
      </c>
    </row>
    <row r="13" spans="1:26" x14ac:dyDescent="0.25">
      <c r="A13" s="25" t="s">
        <v>5</v>
      </c>
      <c r="B13" s="15">
        <v>4.8568926022485089E-2</v>
      </c>
      <c r="C13" s="15">
        <v>6.6059320545250141E-2</v>
      </c>
      <c r="D13" s="15">
        <v>4.819008020676771E-2</v>
      </c>
      <c r="E13" s="15">
        <v>4.9637722178195405E-2</v>
      </c>
      <c r="F13" s="15">
        <v>5.0356081901688325E-2</v>
      </c>
      <c r="G13" s="15">
        <v>5.0270058367453609E-2</v>
      </c>
      <c r="H13" s="15">
        <v>5.6842687066080047E-2</v>
      </c>
      <c r="I13" s="15">
        <v>5.8868095060875113E-2</v>
      </c>
      <c r="J13" s="15">
        <v>5.8789083110270215E-2</v>
      </c>
      <c r="K13" s="15">
        <v>6.1467561428191528E-2</v>
      </c>
      <c r="L13" s="17">
        <v>6.618293069077319E-2</v>
      </c>
      <c r="M13" s="17">
        <v>5.3475824613318595E-2</v>
      </c>
      <c r="N13" s="17">
        <v>8.9828056542944526E-2</v>
      </c>
      <c r="O13" s="17">
        <v>5.0850157711955307E-2</v>
      </c>
      <c r="P13" s="18">
        <v>17999</v>
      </c>
      <c r="Q13" s="18">
        <v>21733</v>
      </c>
      <c r="R13" s="18">
        <v>4788</v>
      </c>
      <c r="S13" s="17">
        <v>0.17226165355841166</v>
      </c>
      <c r="T13" s="17">
        <v>8.2038807056524984E-3</v>
      </c>
      <c r="U13" s="17">
        <v>0.35005121590348648</v>
      </c>
      <c r="V13" s="17">
        <v>0.70642634707936214</v>
      </c>
      <c r="W13" s="18">
        <v>12572</v>
      </c>
      <c r="X13" s="18">
        <v>4283</v>
      </c>
      <c r="Y13" s="18">
        <v>18454</v>
      </c>
      <c r="Z13" s="18">
        <v>7486</v>
      </c>
    </row>
    <row r="14" spans="1:26" x14ac:dyDescent="0.25">
      <c r="A14" s="25" t="s">
        <v>9</v>
      </c>
      <c r="B14" s="15">
        <v>0.28358851374356903</v>
      </c>
      <c r="C14" s="15">
        <v>0.28491391549804107</v>
      </c>
      <c r="D14" s="15">
        <v>0.28719803645392389</v>
      </c>
      <c r="E14" s="15">
        <v>0.27652867074601117</v>
      </c>
      <c r="F14" s="15">
        <v>0.27858116303662972</v>
      </c>
      <c r="G14" s="15">
        <v>0.2834492444162896</v>
      </c>
      <c r="H14" s="15">
        <v>0.29282228279593503</v>
      </c>
      <c r="I14" s="15">
        <v>0.30288067490694448</v>
      </c>
      <c r="J14" s="15">
        <v>0.30307179172951776</v>
      </c>
      <c r="K14" s="15">
        <v>0.29092178469067065</v>
      </c>
      <c r="L14" s="17">
        <v>0.29727310637163651</v>
      </c>
      <c r="M14" s="17">
        <v>0.20127705416044719</v>
      </c>
      <c r="N14" s="17">
        <v>0.43969571427893489</v>
      </c>
      <c r="O14" s="17">
        <v>0.2921336430463064</v>
      </c>
      <c r="P14" s="18">
        <v>249056</v>
      </c>
      <c r="Q14" s="18">
        <v>370616</v>
      </c>
      <c r="R14" s="18">
        <v>71812</v>
      </c>
      <c r="S14" s="17">
        <v>0.10958187080485252</v>
      </c>
      <c r="T14" s="17">
        <v>9.2712937316598368E-2</v>
      </c>
      <c r="U14" s="17">
        <v>0.42725254323256101</v>
      </c>
      <c r="V14" s="17">
        <v>0.74918913170627954</v>
      </c>
      <c r="W14" s="18">
        <v>60503</v>
      </c>
      <c r="X14" s="18">
        <v>48435</v>
      </c>
      <c r="Y14" s="18">
        <v>446449</v>
      </c>
      <c r="Z14" s="18">
        <v>126810</v>
      </c>
    </row>
    <row r="15" spans="1:26" x14ac:dyDescent="0.25">
      <c r="A15" s="25" t="s">
        <v>7</v>
      </c>
      <c r="B15" s="15">
        <v>0.10452502599497718</v>
      </c>
      <c r="C15" s="15">
        <v>0.11597256376765418</v>
      </c>
      <c r="D15" s="15">
        <v>0.11609128014939417</v>
      </c>
      <c r="E15" s="15">
        <v>0.12476512736003478</v>
      </c>
      <c r="F15" s="15">
        <v>0.11974680910592934</v>
      </c>
      <c r="G15" s="15">
        <v>0.12685645118194139</v>
      </c>
      <c r="H15" s="15">
        <v>0.13049246393475089</v>
      </c>
      <c r="I15" s="15">
        <v>0.13100261445080583</v>
      </c>
      <c r="J15" s="15">
        <v>0.14799103498244753</v>
      </c>
      <c r="K15" s="27" t="s">
        <v>10</v>
      </c>
      <c r="L15" s="17">
        <v>0.14721255345178261</v>
      </c>
      <c r="M15" s="17">
        <v>0.10823149843666305</v>
      </c>
      <c r="N15" s="17">
        <v>0.19823094589410073</v>
      </c>
      <c r="O15" s="17">
        <v>0.15850385854325508</v>
      </c>
      <c r="P15" s="18">
        <v>86885</v>
      </c>
      <c r="Q15" s="18">
        <v>112122</v>
      </c>
      <c r="R15" s="18">
        <v>34198</v>
      </c>
      <c r="S15" s="17">
        <v>9.2084318170855245E-2</v>
      </c>
      <c r="T15" s="17">
        <v>7.8270665717986604E-2</v>
      </c>
      <c r="U15" s="17">
        <v>0.2047538384061198</v>
      </c>
      <c r="V15" s="17">
        <v>0.66845441248171622</v>
      </c>
      <c r="W15" s="18">
        <v>49634</v>
      </c>
      <c r="X15" s="18">
        <v>51483</v>
      </c>
      <c r="Y15" s="18">
        <v>49196</v>
      </c>
      <c r="Z15" s="18">
        <v>78147</v>
      </c>
    </row>
    <row r="16" spans="1:26" x14ac:dyDescent="0.25">
      <c r="A16" s="25" t="s">
        <v>1</v>
      </c>
      <c r="B16" s="15">
        <v>0.23282568118028635</v>
      </c>
      <c r="C16" s="15">
        <v>0.2173801187204297</v>
      </c>
      <c r="D16" s="15">
        <v>0.19961627644653501</v>
      </c>
      <c r="E16" s="15">
        <v>0.20202873933979545</v>
      </c>
      <c r="F16" s="15">
        <v>0.20498885313203816</v>
      </c>
      <c r="G16" s="15">
        <v>0.19749562229490863</v>
      </c>
      <c r="H16" s="15">
        <v>0.20304935769609869</v>
      </c>
      <c r="I16" s="15">
        <v>0.19238759284223106</v>
      </c>
      <c r="J16" s="15">
        <v>0.19925995686796805</v>
      </c>
      <c r="K16" s="15">
        <v>0.19278573998284224</v>
      </c>
      <c r="L16" s="17">
        <v>0.19452776412539632</v>
      </c>
      <c r="M16" s="17">
        <v>0.11278822465606805</v>
      </c>
      <c r="N16" s="17">
        <v>0.31502210592946606</v>
      </c>
      <c r="O16" s="17">
        <v>0.17674413399067707</v>
      </c>
      <c r="P16" s="18">
        <v>97791</v>
      </c>
      <c r="Q16" s="18">
        <v>193594</v>
      </c>
      <c r="R16" s="18">
        <v>31584</v>
      </c>
      <c r="S16" s="17">
        <v>6.1542429125685159E-2</v>
      </c>
      <c r="T16" s="17">
        <v>0.12055632549633845</v>
      </c>
      <c r="U16" s="17">
        <v>0.31183310514364748</v>
      </c>
      <c r="V16" s="17">
        <v>0.68292128544952269</v>
      </c>
      <c r="W16" s="18">
        <v>43193</v>
      </c>
      <c r="X16" s="18">
        <v>14701</v>
      </c>
      <c r="Y16" s="18">
        <v>222748</v>
      </c>
      <c r="Z16" s="18">
        <v>39059</v>
      </c>
    </row>
    <row r="17" spans="1:26" x14ac:dyDescent="0.25">
      <c r="A17" s="25" t="s">
        <v>8</v>
      </c>
      <c r="B17" s="15">
        <v>6.5325872262245663E-2</v>
      </c>
      <c r="C17" s="15">
        <v>6.415415222692851E-2</v>
      </c>
      <c r="D17" s="15">
        <v>6.115273794066569E-2</v>
      </c>
      <c r="E17" s="15">
        <v>7.4358207207851759E-2</v>
      </c>
      <c r="F17" s="15">
        <v>7.9670293783391896E-2</v>
      </c>
      <c r="G17" s="15">
        <v>8.2785657766529991E-2</v>
      </c>
      <c r="H17" s="15">
        <v>7.5829802837928978E-2</v>
      </c>
      <c r="I17" s="15">
        <v>9.2603117762044773E-2</v>
      </c>
      <c r="J17" s="15">
        <v>8.7621531894711877E-2</v>
      </c>
      <c r="K17" s="15">
        <v>8.7641445171189158E-2</v>
      </c>
      <c r="L17" s="17">
        <v>8.8257960789003387E-2</v>
      </c>
      <c r="M17" s="17">
        <v>9.5780579848276037E-2</v>
      </c>
      <c r="N17" s="17">
        <v>8.7665430372307007E-2</v>
      </c>
      <c r="O17" s="17">
        <v>6.4685388962059734E-2</v>
      </c>
      <c r="P17" s="18">
        <v>14873</v>
      </c>
      <c r="Q17" s="18">
        <v>8651</v>
      </c>
      <c r="R17" s="18">
        <v>3045</v>
      </c>
      <c r="S17" s="17">
        <v>3.6681195899072996E-2</v>
      </c>
      <c r="T17" s="17">
        <v>2.9448066563085368E-2</v>
      </c>
      <c r="U17" s="17">
        <v>0.40412573673870333</v>
      </c>
      <c r="V17" s="17">
        <v>0.73657289002557547</v>
      </c>
      <c r="W17" s="18">
        <v>7170</v>
      </c>
      <c r="X17" s="18">
        <v>2028</v>
      </c>
      <c r="Y17" s="18">
        <v>4114</v>
      </c>
      <c r="Z17" s="18">
        <v>12384</v>
      </c>
    </row>
    <row r="18" spans="1:26" x14ac:dyDescent="0.25">
      <c r="A18" s="29" t="s">
        <v>0</v>
      </c>
      <c r="B18" s="16">
        <v>0.13159793387661722</v>
      </c>
      <c r="C18" s="16">
        <v>0.12025207743760183</v>
      </c>
      <c r="D18" s="16">
        <v>0.13521977722006509</v>
      </c>
      <c r="E18" s="16">
        <v>0.135274338345232</v>
      </c>
      <c r="F18" s="16">
        <v>0.14284313554939485</v>
      </c>
      <c r="G18" s="16">
        <v>0.1435828657790483</v>
      </c>
      <c r="H18" s="16">
        <v>0.13955073130235107</v>
      </c>
      <c r="I18" s="16">
        <v>0.14149514747972414</v>
      </c>
      <c r="J18" s="16">
        <v>0.13305195472495854</v>
      </c>
      <c r="K18" s="16">
        <v>0.14677825618324658</v>
      </c>
      <c r="L18" s="20">
        <v>0.13929148486379911</v>
      </c>
      <c r="M18" s="20">
        <v>0.10767035046179589</v>
      </c>
      <c r="N18" s="20">
        <v>0.18099194290334272</v>
      </c>
      <c r="O18" s="20">
        <v>0.15207997570831289</v>
      </c>
      <c r="P18" s="21">
        <v>39380</v>
      </c>
      <c r="Q18" s="21">
        <v>45444</v>
      </c>
      <c r="R18" s="21">
        <v>13022</v>
      </c>
      <c r="S18" s="20">
        <v>9.1502134008813629E-2</v>
      </c>
      <c r="T18" s="20">
        <v>7.5505743064698205E-2</v>
      </c>
      <c r="U18" s="20">
        <v>0.43209378036315915</v>
      </c>
      <c r="V18" s="20">
        <v>0.54862371995061365</v>
      </c>
      <c r="W18" s="21">
        <v>23733</v>
      </c>
      <c r="X18" s="21">
        <v>24145</v>
      </c>
      <c r="Y18" s="21">
        <v>34243</v>
      </c>
      <c r="Z18" s="21">
        <v>15108</v>
      </c>
    </row>
    <row r="19" spans="1:26" x14ac:dyDescent="0.25">
      <c r="L19" s="2"/>
      <c r="M19" s="2"/>
      <c r="N19" s="2"/>
      <c r="O19" s="2"/>
      <c r="P19" s="2"/>
      <c r="Q19" s="2"/>
      <c r="R19" s="2"/>
      <c r="S19" s="2"/>
      <c r="T19" s="2"/>
      <c r="U19" s="2"/>
      <c r="V19" s="2"/>
      <c r="W19" s="2"/>
      <c r="X19" s="2"/>
      <c r="Y19" s="2"/>
      <c r="Z19" s="2"/>
    </row>
    <row r="20" spans="1:26" x14ac:dyDescent="0.25">
      <c r="A20" s="7" t="s">
        <v>23</v>
      </c>
    </row>
    <row r="21" spans="1:26" ht="69" customHeight="1" x14ac:dyDescent="0.25">
      <c r="A21" s="45" t="s">
        <v>26</v>
      </c>
      <c r="B21" s="45"/>
      <c r="C21" s="45"/>
      <c r="D21" s="45"/>
      <c r="E21" s="45"/>
      <c r="F21" s="45"/>
    </row>
    <row r="23" spans="1:26" x14ac:dyDescent="0.25">
      <c r="A23" s="7" t="s">
        <v>24</v>
      </c>
    </row>
    <row r="24" spans="1:26" x14ac:dyDescent="0.25">
      <c r="A24" t="s">
        <v>69</v>
      </c>
    </row>
  </sheetData>
  <mergeCells count="1">
    <mergeCell ref="A21:F21"/>
  </mergeCells>
  <hyperlinks>
    <hyperlink ref="A3" r:id="rId1" xr:uid="{5F943481-6ED6-451E-B19B-BF19B785DA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03499-EFEC-43F8-8932-2F08DC0F0B65}">
  <dimension ref="A1:Z24"/>
  <sheetViews>
    <sheetView zoomScale="90" zoomScaleNormal="90" workbookViewId="0">
      <selection activeCell="A21" sqref="A21:F21"/>
    </sheetView>
  </sheetViews>
  <sheetFormatPr defaultRowHeight="15" x14ac:dyDescent="0.25"/>
  <cols>
    <col min="1" max="1" width="15" customWidth="1"/>
    <col min="19" max="19" width="9.85546875" customWidth="1"/>
    <col min="20" max="20" width="11.140625" bestFit="1" customWidth="1"/>
    <col min="23" max="23" width="13.28515625" customWidth="1"/>
    <col min="24" max="24" width="12" customWidth="1"/>
    <col min="26" max="26" width="10.5703125" bestFit="1"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64</v>
      </c>
    </row>
    <row r="7" spans="1:26" x14ac:dyDescent="0.25">
      <c r="A7" s="7" t="s">
        <v>65</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2" t="s">
        <v>13</v>
      </c>
      <c r="T8" s="12" t="s">
        <v>14</v>
      </c>
      <c r="U8" s="12" t="s">
        <v>15</v>
      </c>
      <c r="V8" s="12" t="s">
        <v>16</v>
      </c>
      <c r="W8" s="10" t="s">
        <v>13</v>
      </c>
      <c r="X8" s="10" t="s">
        <v>14</v>
      </c>
      <c r="Y8" s="10" t="s">
        <v>15</v>
      </c>
      <c r="Z8" s="10" t="s">
        <v>16</v>
      </c>
    </row>
    <row r="9" spans="1:26" x14ac:dyDescent="0.25">
      <c r="A9" s="25" t="s">
        <v>3</v>
      </c>
      <c r="B9" s="41">
        <v>40313</v>
      </c>
      <c r="C9" s="41">
        <v>38772</v>
      </c>
      <c r="D9" s="41">
        <v>38346</v>
      </c>
      <c r="E9" s="41">
        <v>38721</v>
      </c>
      <c r="F9" s="41">
        <v>39241</v>
      </c>
      <c r="G9" s="41">
        <v>42266</v>
      </c>
      <c r="H9" s="41">
        <v>42665</v>
      </c>
      <c r="I9" s="41">
        <v>44165</v>
      </c>
      <c r="J9" s="41">
        <v>47350</v>
      </c>
      <c r="K9" s="41">
        <v>47131</v>
      </c>
      <c r="L9" s="42">
        <v>51000</v>
      </c>
      <c r="M9" s="27" t="s">
        <v>10</v>
      </c>
      <c r="N9" s="27" t="s">
        <v>10</v>
      </c>
      <c r="O9" s="27" t="s">
        <v>10</v>
      </c>
      <c r="P9" s="27" t="s">
        <v>10</v>
      </c>
      <c r="Q9" s="27" t="s">
        <v>10</v>
      </c>
      <c r="R9" s="27" t="s">
        <v>10</v>
      </c>
      <c r="S9" s="18">
        <v>79361</v>
      </c>
      <c r="T9" s="18">
        <v>138061</v>
      </c>
      <c r="U9" s="18">
        <v>8055</v>
      </c>
      <c r="V9" s="18">
        <v>6032</v>
      </c>
      <c r="W9" s="42">
        <v>76602</v>
      </c>
      <c r="X9" s="42">
        <v>40770</v>
      </c>
      <c r="Y9" s="42">
        <v>55643</v>
      </c>
      <c r="Z9" s="42">
        <v>60833</v>
      </c>
    </row>
    <row r="10" spans="1:26" x14ac:dyDescent="0.25">
      <c r="A10" s="25" t="s">
        <v>4</v>
      </c>
      <c r="B10" s="41">
        <v>51688</v>
      </c>
      <c r="C10" s="41">
        <v>55979</v>
      </c>
      <c r="D10" s="41">
        <v>49893</v>
      </c>
      <c r="E10" s="41">
        <v>49081</v>
      </c>
      <c r="F10" s="41">
        <v>51642</v>
      </c>
      <c r="G10" s="41">
        <v>53583</v>
      </c>
      <c r="H10" s="41">
        <v>56902</v>
      </c>
      <c r="I10" s="41">
        <v>58263</v>
      </c>
      <c r="J10" s="41">
        <v>63621</v>
      </c>
      <c r="K10" s="41">
        <v>66758</v>
      </c>
      <c r="L10" s="42">
        <v>71834</v>
      </c>
      <c r="M10" s="27" t="s">
        <v>10</v>
      </c>
      <c r="N10" s="27" t="s">
        <v>10</v>
      </c>
      <c r="O10" s="27" t="s">
        <v>10</v>
      </c>
      <c r="P10" s="27" t="s">
        <v>10</v>
      </c>
      <c r="Q10" s="27" t="s">
        <v>10</v>
      </c>
      <c r="R10" s="27" t="s">
        <v>10</v>
      </c>
      <c r="S10" s="18">
        <v>137761</v>
      </c>
      <c r="T10" s="18">
        <v>61232</v>
      </c>
      <c r="U10" s="18">
        <v>47487</v>
      </c>
      <c r="V10" s="18">
        <v>25469</v>
      </c>
      <c r="W10" s="42">
        <v>102366</v>
      </c>
      <c r="X10" s="42">
        <v>46124</v>
      </c>
      <c r="Y10" s="42">
        <v>42639</v>
      </c>
      <c r="Z10" s="42">
        <v>50334</v>
      </c>
    </row>
    <row r="11" spans="1:26" x14ac:dyDescent="0.25">
      <c r="A11" s="25" t="s">
        <v>2</v>
      </c>
      <c r="B11" s="41">
        <v>46911</v>
      </c>
      <c r="C11" s="41">
        <v>45734</v>
      </c>
      <c r="D11" s="41">
        <v>44776</v>
      </c>
      <c r="E11" s="41">
        <v>43628</v>
      </c>
      <c r="F11" s="41">
        <v>45214</v>
      </c>
      <c r="G11" s="41">
        <v>47099</v>
      </c>
      <c r="H11" s="41">
        <v>48734</v>
      </c>
      <c r="I11" s="41">
        <v>50702</v>
      </c>
      <c r="J11" s="41">
        <v>53006</v>
      </c>
      <c r="K11" s="41">
        <v>55295</v>
      </c>
      <c r="L11" s="42">
        <v>57238</v>
      </c>
      <c r="M11" s="27" t="s">
        <v>10</v>
      </c>
      <c r="N11" s="27" t="s">
        <v>10</v>
      </c>
      <c r="O11" s="27" t="s">
        <v>10</v>
      </c>
      <c r="P11" s="27" t="s">
        <v>10</v>
      </c>
      <c r="Q11" s="27" t="s">
        <v>10</v>
      </c>
      <c r="R11" s="27" t="s">
        <v>10</v>
      </c>
      <c r="S11" s="18">
        <v>437114</v>
      </c>
      <c r="T11" s="18">
        <v>317820</v>
      </c>
      <c r="U11" s="18">
        <v>230411</v>
      </c>
      <c r="V11" s="18">
        <v>72754</v>
      </c>
      <c r="W11" s="42">
        <v>88381</v>
      </c>
      <c r="X11" s="42">
        <v>33769</v>
      </c>
      <c r="Y11" s="42">
        <v>48211</v>
      </c>
      <c r="Z11" s="42">
        <v>62446</v>
      </c>
    </row>
    <row r="12" spans="1:26" x14ac:dyDescent="0.25">
      <c r="A12" s="25" t="s">
        <v>6</v>
      </c>
      <c r="B12" s="41">
        <v>26731</v>
      </c>
      <c r="C12" s="41">
        <v>24687</v>
      </c>
      <c r="D12" s="41">
        <v>25977</v>
      </c>
      <c r="E12" s="41">
        <v>25371</v>
      </c>
      <c r="F12" s="41">
        <v>24257</v>
      </c>
      <c r="G12" s="41">
        <v>26096</v>
      </c>
      <c r="H12" s="41">
        <v>24701</v>
      </c>
      <c r="I12" s="41">
        <v>28831</v>
      </c>
      <c r="J12" s="41">
        <v>27551</v>
      </c>
      <c r="K12" s="41">
        <v>28974</v>
      </c>
      <c r="L12" s="42">
        <v>29953</v>
      </c>
      <c r="M12" s="27" t="s">
        <v>10</v>
      </c>
      <c r="N12" s="27" t="s">
        <v>10</v>
      </c>
      <c r="O12" s="27" t="s">
        <v>10</v>
      </c>
      <c r="P12" s="27" t="s">
        <v>10</v>
      </c>
      <c r="Q12" s="27" t="s">
        <v>10</v>
      </c>
      <c r="R12" s="27" t="s">
        <v>10</v>
      </c>
      <c r="S12" s="18">
        <v>65876</v>
      </c>
      <c r="T12" s="18">
        <v>82777</v>
      </c>
      <c r="U12" s="18">
        <v>16561</v>
      </c>
      <c r="V12" s="18">
        <v>4672</v>
      </c>
      <c r="W12" s="42">
        <v>45356</v>
      </c>
      <c r="X12" s="42">
        <v>21483</v>
      </c>
      <c r="Y12" s="42">
        <v>30409</v>
      </c>
      <c r="Z12" s="42">
        <v>46422</v>
      </c>
    </row>
    <row r="13" spans="1:26" x14ac:dyDescent="0.25">
      <c r="A13" s="25" t="s">
        <v>5</v>
      </c>
      <c r="B13" s="41">
        <v>28730</v>
      </c>
      <c r="C13" s="41">
        <v>26098</v>
      </c>
      <c r="D13" s="41">
        <v>25787</v>
      </c>
      <c r="E13" s="41">
        <v>25193</v>
      </c>
      <c r="F13" s="41">
        <v>23600</v>
      </c>
      <c r="G13" s="41">
        <v>24820</v>
      </c>
      <c r="H13" s="41">
        <v>25769</v>
      </c>
      <c r="I13" s="41">
        <v>25980</v>
      </c>
      <c r="J13" s="41">
        <v>28099</v>
      </c>
      <c r="K13" s="41">
        <v>30344</v>
      </c>
      <c r="L13" s="42">
        <v>31283</v>
      </c>
      <c r="M13" s="27" t="s">
        <v>10</v>
      </c>
      <c r="N13" s="27" t="s">
        <v>10</v>
      </c>
      <c r="O13" s="27" t="s">
        <v>10</v>
      </c>
      <c r="P13" s="27" t="s">
        <v>10</v>
      </c>
      <c r="Q13" s="27" t="s">
        <v>10</v>
      </c>
      <c r="R13" s="27" t="s">
        <v>10</v>
      </c>
      <c r="S13" s="18">
        <v>30010</v>
      </c>
      <c r="T13" s="18">
        <v>213825</v>
      </c>
      <c r="U13" s="18">
        <v>13766</v>
      </c>
      <c r="V13" s="18">
        <v>3480</v>
      </c>
      <c r="W13" s="42">
        <v>40551</v>
      </c>
      <c r="X13" s="42">
        <v>30364</v>
      </c>
      <c r="Y13" s="42">
        <v>35147</v>
      </c>
      <c r="Z13" s="42">
        <v>58707</v>
      </c>
    </row>
    <row r="14" spans="1:26" x14ac:dyDescent="0.25">
      <c r="A14" s="25" t="s">
        <v>9</v>
      </c>
      <c r="B14" s="41">
        <v>44315</v>
      </c>
      <c r="C14" s="41">
        <v>42945</v>
      </c>
      <c r="D14" s="41">
        <v>42355</v>
      </c>
      <c r="E14" s="41">
        <v>42877</v>
      </c>
      <c r="F14" s="41">
        <v>42847</v>
      </c>
      <c r="G14" s="41">
        <v>45353</v>
      </c>
      <c r="H14" s="41">
        <v>45460</v>
      </c>
      <c r="I14" s="41">
        <v>48064</v>
      </c>
      <c r="J14" s="41">
        <v>47793</v>
      </c>
      <c r="K14" s="41">
        <v>50896</v>
      </c>
      <c r="L14" s="42">
        <v>51203</v>
      </c>
      <c r="M14" s="27" t="s">
        <v>10</v>
      </c>
      <c r="N14" s="27" t="s">
        <v>10</v>
      </c>
      <c r="O14" s="27" t="s">
        <v>10</v>
      </c>
      <c r="P14" s="27" t="s">
        <v>10</v>
      </c>
      <c r="Q14" s="27" t="s">
        <v>10</v>
      </c>
      <c r="R14" s="27" t="s">
        <v>10</v>
      </c>
      <c r="S14" s="18">
        <v>259286</v>
      </c>
      <c r="T14" s="18">
        <v>210811</v>
      </c>
      <c r="U14" s="18">
        <v>303258</v>
      </c>
      <c r="V14" s="18">
        <v>63126</v>
      </c>
      <c r="W14" s="42">
        <v>85121</v>
      </c>
      <c r="X14" s="42">
        <v>36888</v>
      </c>
      <c r="Y14" s="42">
        <v>42791</v>
      </c>
      <c r="Z14" s="42">
        <v>67975</v>
      </c>
    </row>
    <row r="15" spans="1:26" x14ac:dyDescent="0.25">
      <c r="A15" s="25" t="s">
        <v>7</v>
      </c>
      <c r="B15" s="41">
        <v>36976</v>
      </c>
      <c r="C15" s="41">
        <v>37045</v>
      </c>
      <c r="D15" s="41">
        <v>34400</v>
      </c>
      <c r="E15" s="41">
        <v>34207</v>
      </c>
      <c r="F15" s="41">
        <v>35386</v>
      </c>
      <c r="G15" s="41">
        <v>36836</v>
      </c>
      <c r="H15" s="41">
        <v>39043</v>
      </c>
      <c r="I15" s="41">
        <v>41233</v>
      </c>
      <c r="J15" s="41">
        <v>41449</v>
      </c>
      <c r="K15" s="27" t="s">
        <v>10</v>
      </c>
      <c r="L15" s="42">
        <v>46116</v>
      </c>
      <c r="M15" s="27" t="s">
        <v>10</v>
      </c>
      <c r="N15" s="27" t="s">
        <v>10</v>
      </c>
      <c r="O15" s="27" t="s">
        <v>10</v>
      </c>
      <c r="P15" s="27" t="s">
        <v>10</v>
      </c>
      <c r="Q15" s="27" t="s">
        <v>10</v>
      </c>
      <c r="R15" s="27" t="s">
        <v>10</v>
      </c>
      <c r="S15" s="18">
        <v>239351</v>
      </c>
      <c r="T15" s="18">
        <v>249954</v>
      </c>
      <c r="U15" s="18">
        <v>70862</v>
      </c>
      <c r="V15" s="18">
        <v>39017</v>
      </c>
      <c r="W15" s="42">
        <v>64947</v>
      </c>
      <c r="X15" s="42">
        <v>33774</v>
      </c>
      <c r="Y15" s="42">
        <v>32296</v>
      </c>
      <c r="Z15" s="42">
        <v>56476</v>
      </c>
    </row>
    <row r="16" spans="1:26" x14ac:dyDescent="0.25">
      <c r="A16" s="25" t="s">
        <v>1</v>
      </c>
      <c r="B16" s="41">
        <v>50140</v>
      </c>
      <c r="C16" s="41">
        <v>47085</v>
      </c>
      <c r="D16" s="41">
        <v>42260</v>
      </c>
      <c r="E16" s="41">
        <v>43960</v>
      </c>
      <c r="F16" s="41">
        <v>44153</v>
      </c>
      <c r="G16" s="41">
        <v>46601</v>
      </c>
      <c r="H16" s="41">
        <v>47929</v>
      </c>
      <c r="I16" s="41">
        <v>48452</v>
      </c>
      <c r="J16" s="41">
        <v>52062</v>
      </c>
      <c r="K16" s="41">
        <v>56696</v>
      </c>
      <c r="L16" s="42">
        <v>57957</v>
      </c>
      <c r="M16" s="27" t="s">
        <v>10</v>
      </c>
      <c r="N16" s="27" t="s">
        <v>10</v>
      </c>
      <c r="O16" s="27" t="s">
        <v>10</v>
      </c>
      <c r="P16" s="27" t="s">
        <v>10</v>
      </c>
      <c r="Q16" s="27" t="s">
        <v>10</v>
      </c>
      <c r="R16" s="27" t="s">
        <v>10</v>
      </c>
      <c r="S16" s="18">
        <v>310893</v>
      </c>
      <c r="T16" s="18">
        <v>42403</v>
      </c>
      <c r="U16" s="18">
        <v>182768</v>
      </c>
      <c r="V16" s="18">
        <v>19910</v>
      </c>
      <c r="W16" s="42">
        <v>69259</v>
      </c>
      <c r="X16" s="42">
        <v>42632</v>
      </c>
      <c r="Y16" s="42">
        <v>48622</v>
      </c>
      <c r="Z16" s="42">
        <v>86239</v>
      </c>
    </row>
    <row r="17" spans="1:26" x14ac:dyDescent="0.25">
      <c r="A17" s="25" t="s">
        <v>8</v>
      </c>
      <c r="B17" s="41">
        <v>36709</v>
      </c>
      <c r="C17" s="41">
        <v>37461</v>
      </c>
      <c r="D17" s="41">
        <v>36196</v>
      </c>
      <c r="E17" s="41">
        <v>35947</v>
      </c>
      <c r="F17" s="41">
        <v>39884</v>
      </c>
      <c r="G17" s="41">
        <v>42004</v>
      </c>
      <c r="H17" s="41">
        <v>41074</v>
      </c>
      <c r="I17" s="41">
        <v>41293</v>
      </c>
      <c r="J17" s="41">
        <v>44707</v>
      </c>
      <c r="K17" s="41">
        <v>45851</v>
      </c>
      <c r="L17" s="42">
        <v>47417</v>
      </c>
      <c r="M17" s="27" t="s">
        <v>10</v>
      </c>
      <c r="N17" s="27" t="s">
        <v>10</v>
      </c>
      <c r="O17" s="27" t="s">
        <v>10</v>
      </c>
      <c r="P17" s="27" t="s">
        <v>10</v>
      </c>
      <c r="Q17" s="27" t="s">
        <v>10</v>
      </c>
      <c r="R17" s="27" t="s">
        <v>10</v>
      </c>
      <c r="S17" s="18">
        <v>97322</v>
      </c>
      <c r="T17" s="18">
        <v>31007</v>
      </c>
      <c r="U17" s="18">
        <v>3334</v>
      </c>
      <c r="V17" s="18">
        <v>7382</v>
      </c>
      <c r="W17" s="42">
        <v>59488</v>
      </c>
      <c r="X17" s="42">
        <v>23899</v>
      </c>
      <c r="Y17" s="42">
        <v>48571</v>
      </c>
      <c r="Z17" s="42">
        <v>30808</v>
      </c>
    </row>
    <row r="18" spans="1:26" x14ac:dyDescent="0.25">
      <c r="A18" s="29" t="s">
        <v>0</v>
      </c>
      <c r="B18" s="43">
        <v>57936</v>
      </c>
      <c r="C18" s="43">
        <v>59290</v>
      </c>
      <c r="D18" s="43">
        <v>60903</v>
      </c>
      <c r="E18" s="43">
        <v>63124</v>
      </c>
      <c r="F18" s="43">
        <v>66583</v>
      </c>
      <c r="G18" s="43">
        <v>67572</v>
      </c>
      <c r="H18" s="43">
        <v>71648</v>
      </c>
      <c r="I18" s="43">
        <v>75628</v>
      </c>
      <c r="J18" s="43">
        <v>75506</v>
      </c>
      <c r="K18" s="43">
        <v>82372</v>
      </c>
      <c r="L18" s="44">
        <v>85203</v>
      </c>
      <c r="M18" s="35" t="s">
        <v>10</v>
      </c>
      <c r="N18" s="35" t="s">
        <v>10</v>
      </c>
      <c r="O18" s="35" t="s">
        <v>10</v>
      </c>
      <c r="P18" s="35" t="s">
        <v>10</v>
      </c>
      <c r="Q18" s="35" t="s">
        <v>10</v>
      </c>
      <c r="R18" s="35" t="s">
        <v>10</v>
      </c>
      <c r="S18" s="21">
        <v>117638</v>
      </c>
      <c r="T18" s="21">
        <v>124979</v>
      </c>
      <c r="U18" s="21">
        <v>27959</v>
      </c>
      <c r="V18" s="21">
        <v>11638</v>
      </c>
      <c r="W18" s="44">
        <v>142544</v>
      </c>
      <c r="X18" s="44">
        <v>45193</v>
      </c>
      <c r="Y18" s="44">
        <v>72284</v>
      </c>
      <c r="Z18" s="44">
        <v>116382</v>
      </c>
    </row>
    <row r="19" spans="1:26" x14ac:dyDescent="0.25">
      <c r="L19" s="2"/>
      <c r="M19" s="2"/>
      <c r="N19" s="2"/>
      <c r="O19" s="2"/>
      <c r="P19" s="2"/>
      <c r="Q19" s="2"/>
      <c r="R19" s="2"/>
      <c r="S19" s="2"/>
      <c r="T19" s="2"/>
      <c r="U19" s="2"/>
      <c r="V19" s="2"/>
      <c r="W19" s="2"/>
      <c r="X19" s="2"/>
      <c r="Y19" s="2"/>
      <c r="Z19" s="2"/>
    </row>
    <row r="20" spans="1:26" x14ac:dyDescent="0.25">
      <c r="A20" s="7" t="s">
        <v>23</v>
      </c>
    </row>
    <row r="21" spans="1:26" ht="63" customHeight="1" x14ac:dyDescent="0.25">
      <c r="A21" s="45" t="s">
        <v>26</v>
      </c>
      <c r="B21" s="45"/>
      <c r="C21" s="45"/>
      <c r="D21" s="45"/>
      <c r="E21" s="45"/>
      <c r="F21" s="45"/>
    </row>
    <row r="23" spans="1:26" x14ac:dyDescent="0.25">
      <c r="A23" s="7" t="s">
        <v>24</v>
      </c>
    </row>
    <row r="24" spans="1:26" x14ac:dyDescent="0.25">
      <c r="A24" t="s">
        <v>66</v>
      </c>
    </row>
  </sheetData>
  <mergeCells count="1">
    <mergeCell ref="A21:F21"/>
  </mergeCells>
  <hyperlinks>
    <hyperlink ref="A3" r:id="rId1" xr:uid="{2E6DBB6C-4A3B-40D2-9605-57603097D31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7918-DA0F-40FE-972F-FCFD70A2CF04}">
  <dimension ref="A1:Z24"/>
  <sheetViews>
    <sheetView topLeftCell="A4" zoomScale="90" zoomScaleNormal="90" workbookViewId="0">
      <selection activeCell="H38" sqref="H38"/>
    </sheetView>
  </sheetViews>
  <sheetFormatPr defaultRowHeight="15" x14ac:dyDescent="0.25"/>
  <cols>
    <col min="1" max="1" width="15.7109375" bestFit="1" customWidth="1"/>
    <col min="2" max="2" width="10" customWidth="1"/>
    <col min="13" max="14" width="12.140625" bestFit="1" customWidth="1"/>
    <col min="15" max="15" width="11.140625" bestFit="1" customWidth="1"/>
    <col min="19" max="19" width="12.28515625" customWidth="1"/>
    <col min="20" max="20" width="10.5703125" bestFit="1" customWidth="1"/>
    <col min="21" max="21" width="11.5703125" bestFit="1" customWidth="1"/>
    <col min="22" max="22" width="10.5703125" bestFit="1" customWidth="1"/>
    <col min="23" max="23" width="11.85546875" customWidth="1"/>
    <col min="24" max="25" width="12.140625" bestFit="1" customWidth="1"/>
    <col min="26" max="26" width="11.140625" bestFit="1"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61</v>
      </c>
    </row>
    <row r="7" spans="1:26" x14ac:dyDescent="0.25">
      <c r="A7" s="7" t="s">
        <v>62</v>
      </c>
    </row>
    <row r="8" spans="1:26" x14ac:dyDescent="0.25">
      <c r="A8" s="9"/>
      <c r="B8" s="9">
        <v>2008</v>
      </c>
      <c r="C8" s="9">
        <v>2009</v>
      </c>
      <c r="D8" s="9">
        <v>2010</v>
      </c>
      <c r="E8" s="9">
        <v>2011</v>
      </c>
      <c r="F8" s="9">
        <v>2012</v>
      </c>
      <c r="G8" s="9">
        <v>2013</v>
      </c>
      <c r="H8" s="9">
        <v>2014</v>
      </c>
      <c r="I8" s="9">
        <v>2015</v>
      </c>
      <c r="J8" s="9">
        <v>2016</v>
      </c>
      <c r="K8" s="9">
        <v>2017</v>
      </c>
      <c r="L8" s="10">
        <v>2018</v>
      </c>
      <c r="M8" s="36" t="s">
        <v>17</v>
      </c>
      <c r="N8" s="36" t="s">
        <v>11</v>
      </c>
      <c r="O8" s="36" t="s">
        <v>12</v>
      </c>
      <c r="P8" s="36" t="s">
        <v>17</v>
      </c>
      <c r="Q8" s="36" t="s">
        <v>11</v>
      </c>
      <c r="R8" s="36" t="s">
        <v>12</v>
      </c>
      <c r="S8" s="10" t="s">
        <v>13</v>
      </c>
      <c r="T8" s="10" t="s">
        <v>14</v>
      </c>
      <c r="U8" s="10" t="s">
        <v>15</v>
      </c>
      <c r="V8" s="10" t="s">
        <v>16</v>
      </c>
      <c r="W8" s="10" t="s">
        <v>13</v>
      </c>
      <c r="X8" s="10" t="s">
        <v>14</v>
      </c>
      <c r="Y8" s="10" t="s">
        <v>15</v>
      </c>
      <c r="Z8" s="10" t="s">
        <v>16</v>
      </c>
    </row>
    <row r="9" spans="1:26" x14ac:dyDescent="0.25">
      <c r="A9" s="25" t="s">
        <v>3</v>
      </c>
      <c r="B9" s="15">
        <v>0.193</v>
      </c>
      <c r="C9" s="15">
        <v>0.21</v>
      </c>
      <c r="D9" s="15">
        <v>0.25600000000000001</v>
      </c>
      <c r="E9" s="15">
        <v>0.251</v>
      </c>
      <c r="F9" s="15">
        <v>0.248</v>
      </c>
      <c r="G9" s="15">
        <v>0.23300000000000001</v>
      </c>
      <c r="H9" s="15">
        <v>0.23599999999999999</v>
      </c>
      <c r="I9" s="15">
        <v>0.22900000000000001</v>
      </c>
      <c r="J9" s="15">
        <v>0.219</v>
      </c>
      <c r="K9" s="15">
        <v>0.222</v>
      </c>
      <c r="L9" s="17">
        <v>0.184</v>
      </c>
      <c r="M9" s="18">
        <v>55757</v>
      </c>
      <c r="N9" s="18">
        <v>39447</v>
      </c>
      <c r="O9" s="18">
        <v>11869</v>
      </c>
      <c r="P9" s="17">
        <v>0.19995481409226531</v>
      </c>
      <c r="Q9" s="17">
        <v>0.17916528516471289</v>
      </c>
      <c r="R9" s="17">
        <v>0.1454373904838927</v>
      </c>
      <c r="S9" s="17">
        <v>9.4668463813695758E-2</v>
      </c>
      <c r="T9" s="17">
        <v>0.22921225839281692</v>
      </c>
      <c r="U9" s="17">
        <v>0.14348233823069709</v>
      </c>
      <c r="V9" s="17">
        <v>0.17596229379418696</v>
      </c>
      <c r="W9" s="18">
        <v>15171</v>
      </c>
      <c r="X9" s="18">
        <v>82430</v>
      </c>
      <c r="Y9" s="18">
        <v>4590</v>
      </c>
      <c r="Z9" s="18">
        <v>2464</v>
      </c>
    </row>
    <row r="10" spans="1:26" x14ac:dyDescent="0.25">
      <c r="A10" s="25" t="s">
        <v>4</v>
      </c>
      <c r="B10" s="15">
        <v>0.187</v>
      </c>
      <c r="C10" s="15">
        <v>0.16900000000000001</v>
      </c>
      <c r="D10" s="15">
        <v>0.23300000000000001</v>
      </c>
      <c r="E10" s="15">
        <v>0.23200000000000001</v>
      </c>
      <c r="F10" s="15">
        <v>0.216</v>
      </c>
      <c r="G10" s="15">
        <v>0.216</v>
      </c>
      <c r="H10" s="15">
        <v>0.22600000000000001</v>
      </c>
      <c r="I10" s="15">
        <v>0.20499999999999999</v>
      </c>
      <c r="J10" s="15">
        <v>0.21</v>
      </c>
      <c r="K10" s="15">
        <v>0.187</v>
      </c>
      <c r="L10" s="17">
        <v>0.182</v>
      </c>
      <c r="M10" s="18">
        <v>73608</v>
      </c>
      <c r="N10" s="18">
        <v>30686</v>
      </c>
      <c r="O10" s="18">
        <v>14652</v>
      </c>
      <c r="P10" s="17">
        <v>0.21260470221246605</v>
      </c>
      <c r="Q10" s="17">
        <v>0.13540191237661553</v>
      </c>
      <c r="R10" s="17">
        <v>0.18242031872509959</v>
      </c>
      <c r="S10" s="17">
        <v>0.10552072344164024</v>
      </c>
      <c r="T10" s="17">
        <v>0.21071039435585334</v>
      </c>
      <c r="U10" s="17">
        <v>0.28115632968966697</v>
      </c>
      <c r="V10" s="17">
        <v>0.25058458680906814</v>
      </c>
      <c r="W10" s="18">
        <v>29907</v>
      </c>
      <c r="X10" s="18">
        <v>35003</v>
      </c>
      <c r="Y10" s="18">
        <v>37707</v>
      </c>
      <c r="Z10" s="18">
        <v>15110</v>
      </c>
    </row>
    <row r="11" spans="1:26" x14ac:dyDescent="0.25">
      <c r="A11" s="25" t="s">
        <v>2</v>
      </c>
      <c r="B11" s="15">
        <v>0.20599999999999999</v>
      </c>
      <c r="C11" s="15">
        <v>0.216</v>
      </c>
      <c r="D11" s="15">
        <v>0.22500000000000001</v>
      </c>
      <c r="E11" s="15">
        <v>0.23699999999999999</v>
      </c>
      <c r="F11" s="15">
        <v>0.23899999999999999</v>
      </c>
      <c r="G11" s="15">
        <v>0.23</v>
      </c>
      <c r="H11" s="15">
        <v>0.22</v>
      </c>
      <c r="I11" s="15">
        <v>0.20899999999999999</v>
      </c>
      <c r="J11" s="15">
        <v>0.191</v>
      </c>
      <c r="K11" s="15">
        <v>0.186</v>
      </c>
      <c r="L11" s="17">
        <v>0.17399999999999999</v>
      </c>
      <c r="M11" s="18">
        <v>264773</v>
      </c>
      <c r="N11" s="18">
        <v>143936</v>
      </c>
      <c r="O11" s="18">
        <v>52690</v>
      </c>
      <c r="P11" s="17">
        <v>0.20104343679621928</v>
      </c>
      <c r="Q11" s="17">
        <v>0.14514432651826456</v>
      </c>
      <c r="R11" s="17">
        <v>0.15469395903795566</v>
      </c>
      <c r="S11" s="17">
        <v>8.553765990390054E-2</v>
      </c>
      <c r="T11" s="17">
        <v>0.27903053167335057</v>
      </c>
      <c r="U11" s="17">
        <v>0.1608440139005492</v>
      </c>
      <c r="V11" s="17">
        <v>0.20990106832662689</v>
      </c>
      <c r="W11" s="18">
        <v>74857</v>
      </c>
      <c r="X11" s="18">
        <v>217153</v>
      </c>
      <c r="Y11" s="18">
        <v>123764</v>
      </c>
      <c r="Z11" s="18">
        <v>37193</v>
      </c>
    </row>
    <row r="12" spans="1:26" x14ac:dyDescent="0.25">
      <c r="A12" s="25" t="s">
        <v>6</v>
      </c>
      <c r="B12" s="15">
        <v>0.30499999999999999</v>
      </c>
      <c r="C12" s="15">
        <v>0.35</v>
      </c>
      <c r="D12" s="15">
        <v>0.34</v>
      </c>
      <c r="E12" s="15">
        <v>0.34300000000000003</v>
      </c>
      <c r="F12" s="15">
        <v>0.36099999999999999</v>
      </c>
      <c r="G12" s="15">
        <v>0.36899999999999999</v>
      </c>
      <c r="H12" s="15">
        <v>0.39200000000000002</v>
      </c>
      <c r="I12" s="15">
        <v>0.34699999999999998</v>
      </c>
      <c r="J12" s="15">
        <v>0.35</v>
      </c>
      <c r="K12" s="15">
        <v>0.33100000000000002</v>
      </c>
      <c r="L12" s="17">
        <v>0.33100000000000002</v>
      </c>
      <c r="M12" s="18">
        <v>71059</v>
      </c>
      <c r="N12" s="18">
        <v>40831</v>
      </c>
      <c r="O12" s="18">
        <v>11750</v>
      </c>
      <c r="P12" s="17">
        <v>0.39713073754687561</v>
      </c>
      <c r="Q12" s="17">
        <v>0.28889926627185442</v>
      </c>
      <c r="R12" s="17">
        <v>0.2204337385562059</v>
      </c>
      <c r="S12" s="17">
        <v>0.22086489321962502</v>
      </c>
      <c r="T12" s="17">
        <v>0.40355720136901757</v>
      </c>
      <c r="U12" s="17">
        <v>0.36637522611766732</v>
      </c>
      <c r="V12" s="17">
        <v>0.23943151986964786</v>
      </c>
      <c r="W12" s="18">
        <v>27789</v>
      </c>
      <c r="X12" s="18">
        <v>71926</v>
      </c>
      <c r="Y12" s="18">
        <v>17013</v>
      </c>
      <c r="Z12" s="18">
        <v>2645</v>
      </c>
    </row>
    <row r="13" spans="1:26" x14ac:dyDescent="0.25">
      <c r="A13" s="25" t="s">
        <v>5</v>
      </c>
      <c r="B13" s="15">
        <v>0.33300000000000002</v>
      </c>
      <c r="C13" s="15">
        <v>0.36399999999999999</v>
      </c>
      <c r="D13" s="15">
        <v>0.376</v>
      </c>
      <c r="E13" s="15">
        <v>0.40799999999999997</v>
      </c>
      <c r="F13" s="15">
        <v>0.42299999999999999</v>
      </c>
      <c r="G13" s="15">
        <v>0.40699999999999997</v>
      </c>
      <c r="H13" s="15">
        <v>0.39300000000000002</v>
      </c>
      <c r="I13" s="15">
        <v>0.39800000000000002</v>
      </c>
      <c r="J13" s="15">
        <v>0.35699999999999998</v>
      </c>
      <c r="K13" s="15">
        <v>0.34499999999999997</v>
      </c>
      <c r="L13" s="17">
        <v>0.33399999999999996</v>
      </c>
      <c r="M13" s="18">
        <v>127956</v>
      </c>
      <c r="N13" s="18">
        <v>73201</v>
      </c>
      <c r="O13" s="18">
        <v>19274</v>
      </c>
      <c r="P13" s="17">
        <v>0.389309771992917</v>
      </c>
      <c r="Q13" s="17">
        <v>0.30487078569792381</v>
      </c>
      <c r="R13" s="17">
        <v>0.21013955516790231</v>
      </c>
      <c r="S13" s="17">
        <v>0.35378711078928315</v>
      </c>
      <c r="T13" s="17">
        <v>0.32859432794227805</v>
      </c>
      <c r="U13" s="17">
        <v>0.37289340686792599</v>
      </c>
      <c r="V13" s="17">
        <v>0.18252586295196149</v>
      </c>
      <c r="W13" s="18">
        <v>24429</v>
      </c>
      <c r="X13" s="18">
        <v>169324</v>
      </c>
      <c r="Y13" s="18">
        <v>19405</v>
      </c>
      <c r="Z13" s="18">
        <v>1782</v>
      </c>
    </row>
    <row r="14" spans="1:26" x14ac:dyDescent="0.25">
      <c r="A14" s="25" t="s">
        <v>9</v>
      </c>
      <c r="B14" s="15">
        <v>0.19500000000000001</v>
      </c>
      <c r="C14" s="15">
        <v>0.20599999999999999</v>
      </c>
      <c r="D14" s="15">
        <v>0.22800000000000001</v>
      </c>
      <c r="E14" s="15">
        <v>0.23799999999999999</v>
      </c>
      <c r="F14" s="15">
        <v>0.23499999999999999</v>
      </c>
      <c r="G14" s="15">
        <v>0.224</v>
      </c>
      <c r="H14" s="15">
        <v>0.224</v>
      </c>
      <c r="I14" s="15">
        <v>0.21199999999999999</v>
      </c>
      <c r="J14" s="15">
        <v>0.20799999999999999</v>
      </c>
      <c r="K14" s="15">
        <v>0.20599999999999999</v>
      </c>
      <c r="L14" s="17">
        <v>0.20399999999999999</v>
      </c>
      <c r="M14" s="18">
        <v>302218</v>
      </c>
      <c r="N14" s="18">
        <v>127396</v>
      </c>
      <c r="O14" s="18">
        <v>36804</v>
      </c>
      <c r="P14" s="17">
        <v>0.24938935429993597</v>
      </c>
      <c r="Q14" s="17">
        <v>0.15211408197940784</v>
      </c>
      <c r="R14" s="17">
        <v>0.15198341578638741</v>
      </c>
      <c r="S14" s="17">
        <v>9.9902575476328428E-2</v>
      </c>
      <c r="T14" s="17">
        <v>0.24523524681794112</v>
      </c>
      <c r="U14" s="17">
        <v>0.24852299803194972</v>
      </c>
      <c r="V14" s="17">
        <v>0.14446438390100361</v>
      </c>
      <c r="W14" s="18">
        <v>54143</v>
      </c>
      <c r="X14" s="18">
        <v>125043</v>
      </c>
      <c r="Y14" s="18">
        <v>257735</v>
      </c>
      <c r="Z14" s="18">
        <v>23909</v>
      </c>
    </row>
    <row r="15" spans="1:26" x14ac:dyDescent="0.25">
      <c r="A15" s="25" t="s">
        <v>7</v>
      </c>
      <c r="B15" s="15">
        <v>0.24099999999999999</v>
      </c>
      <c r="C15" s="15">
        <v>0.25</v>
      </c>
      <c r="D15" s="15">
        <v>0.26700000000000002</v>
      </c>
      <c r="E15" s="15">
        <v>0.28399999999999997</v>
      </c>
      <c r="F15" s="15">
        <v>0.26900000000000002</v>
      </c>
      <c r="G15" s="15">
        <v>0.26300000000000001</v>
      </c>
      <c r="H15" s="15">
        <v>0.26</v>
      </c>
      <c r="I15" s="15">
        <v>0.25800000000000001</v>
      </c>
      <c r="J15" s="15">
        <v>0.25700000000000001</v>
      </c>
      <c r="K15" s="27" t="s">
        <v>10</v>
      </c>
      <c r="L15" s="17">
        <v>0.245</v>
      </c>
      <c r="M15" s="18">
        <v>218496</v>
      </c>
      <c r="N15" s="18">
        <v>122095</v>
      </c>
      <c r="O15" s="18">
        <v>36525</v>
      </c>
      <c r="P15" s="17">
        <v>0.28483081912846692</v>
      </c>
      <c r="Q15" s="17">
        <v>0.21715274591198996</v>
      </c>
      <c r="R15" s="17">
        <v>0.17466298770544719</v>
      </c>
      <c r="S15" s="17">
        <v>0.1414853528718143</v>
      </c>
      <c r="T15" s="17">
        <v>0.29433121929099865</v>
      </c>
      <c r="U15" s="17">
        <v>0.37766097575484603</v>
      </c>
      <c r="V15" s="17">
        <v>0.20991768287191312</v>
      </c>
      <c r="W15" s="18">
        <v>73553</v>
      </c>
      <c r="X15" s="18">
        <v>189534</v>
      </c>
      <c r="Y15" s="18">
        <v>88881</v>
      </c>
      <c r="Z15" s="18">
        <v>23308</v>
      </c>
    </row>
    <row r="16" spans="1:26" x14ac:dyDescent="0.25">
      <c r="A16" s="25" t="s">
        <v>1</v>
      </c>
      <c r="B16" s="15">
        <v>0.189</v>
      </c>
      <c r="C16" s="15">
        <v>0.21099999999999999</v>
      </c>
      <c r="D16" s="15">
        <v>0.22500000000000001</v>
      </c>
      <c r="E16" s="15">
        <v>0.22900000000000001</v>
      </c>
      <c r="F16" s="15">
        <v>0.24099999999999999</v>
      </c>
      <c r="G16" s="15">
        <v>0.23599999999999999</v>
      </c>
      <c r="H16" s="15">
        <v>0.23300000000000001</v>
      </c>
      <c r="I16" s="15">
        <v>0.223</v>
      </c>
      <c r="J16" s="15">
        <v>0.20300000000000001</v>
      </c>
      <c r="K16" s="15">
        <v>0.16800000000000001</v>
      </c>
      <c r="L16" s="17">
        <v>0.156</v>
      </c>
      <c r="M16" s="18">
        <v>161385</v>
      </c>
      <c r="N16" s="18">
        <v>76740</v>
      </c>
      <c r="O16" s="18">
        <v>17798</v>
      </c>
      <c r="P16" s="17">
        <v>0.18902808979551677</v>
      </c>
      <c r="Q16" s="17">
        <v>0.12555463933718145</v>
      </c>
      <c r="R16" s="17">
        <v>0.10066628205563286</v>
      </c>
      <c r="S16" s="17">
        <v>9.8142038999013775E-2</v>
      </c>
      <c r="T16" s="17">
        <v>0.18579398534999542</v>
      </c>
      <c r="U16" s="17">
        <v>0.20639311858098991</v>
      </c>
      <c r="V16" s="17">
        <v>9.5303672316384175E-2</v>
      </c>
      <c r="W16" s="18">
        <v>68067</v>
      </c>
      <c r="X16" s="18">
        <v>22346</v>
      </c>
      <c r="Y16" s="18">
        <v>146077</v>
      </c>
      <c r="Z16" s="18">
        <v>5398</v>
      </c>
    </row>
    <row r="17" spans="1:26" x14ac:dyDescent="0.25">
      <c r="A17" s="25" t="s">
        <v>8</v>
      </c>
      <c r="B17" s="15">
        <v>0.21199999999999999</v>
      </c>
      <c r="C17" s="15">
        <v>0.23100000000000001</v>
      </c>
      <c r="D17" s="15">
        <v>0.26700000000000002</v>
      </c>
      <c r="E17" s="15">
        <v>0.23799999999999999</v>
      </c>
      <c r="F17" s="15">
        <v>0.21099999999999999</v>
      </c>
      <c r="G17" s="15">
        <v>0.22700000000000001</v>
      </c>
      <c r="H17" s="15">
        <v>0.23799999999999999</v>
      </c>
      <c r="I17" s="15">
        <v>0.23</v>
      </c>
      <c r="J17" s="15">
        <v>0.192</v>
      </c>
      <c r="K17" s="15">
        <v>0.20200000000000001</v>
      </c>
      <c r="L17" s="17">
        <v>0.20499999999999999</v>
      </c>
      <c r="M17" s="18">
        <v>35921</v>
      </c>
      <c r="N17" s="18">
        <v>14789</v>
      </c>
      <c r="O17" s="18">
        <v>6623</v>
      </c>
      <c r="P17" s="17">
        <v>0.2607941221313082</v>
      </c>
      <c r="Q17" s="17">
        <v>0.15168516277256969</v>
      </c>
      <c r="R17" s="17">
        <v>0.14686121028006296</v>
      </c>
      <c r="S17" s="17">
        <v>0.14749067508526029</v>
      </c>
      <c r="T17" s="17">
        <v>0.31151079136690646</v>
      </c>
      <c r="U17" s="17">
        <v>0.20558986705746884</v>
      </c>
      <c r="V17" s="17">
        <v>0.39401680672268907</v>
      </c>
      <c r="W17" s="18">
        <v>26770</v>
      </c>
      <c r="X17" s="18">
        <v>20351</v>
      </c>
      <c r="Y17" s="18">
        <v>1964</v>
      </c>
      <c r="Z17" s="18">
        <v>5861</v>
      </c>
    </row>
    <row r="18" spans="1:26" x14ac:dyDescent="0.25">
      <c r="A18" s="29" t="s">
        <v>0</v>
      </c>
      <c r="B18" s="16">
        <v>0.17199999999999999</v>
      </c>
      <c r="C18" s="16">
        <v>0.184</v>
      </c>
      <c r="D18" s="16">
        <v>0.192</v>
      </c>
      <c r="E18" s="16">
        <v>0.187</v>
      </c>
      <c r="F18" s="16">
        <v>0.182</v>
      </c>
      <c r="G18" s="16">
        <v>0.189</v>
      </c>
      <c r="H18" s="16">
        <v>0.17699999999999999</v>
      </c>
      <c r="I18" s="16">
        <v>0.17299999999999999</v>
      </c>
      <c r="J18" s="16">
        <v>0.186</v>
      </c>
      <c r="K18" s="16">
        <v>0.16600000000000001</v>
      </c>
      <c r="L18" s="20">
        <v>0.16200000000000001</v>
      </c>
      <c r="M18" s="21">
        <v>62091</v>
      </c>
      <c r="N18" s="21">
        <v>32007</v>
      </c>
      <c r="O18" s="21">
        <v>13957</v>
      </c>
      <c r="P18" s="20">
        <v>0.18438964417440265</v>
      </c>
      <c r="Q18" s="20">
        <v>0.12862843754646691</v>
      </c>
      <c r="R18" s="20">
        <v>0.16722981068775461</v>
      </c>
      <c r="S18" s="20">
        <v>6.4230835037519252E-2</v>
      </c>
      <c r="T18" s="20">
        <v>0.25269890744979628</v>
      </c>
      <c r="U18" s="20">
        <v>0.13037558002723318</v>
      </c>
      <c r="V18" s="20">
        <v>8.6683107274969168E-2</v>
      </c>
      <c r="W18" s="21">
        <v>15767</v>
      </c>
      <c r="X18" s="21">
        <v>77830</v>
      </c>
      <c r="Y18" s="21">
        <v>9862</v>
      </c>
      <c r="Z18" s="21">
        <v>2109</v>
      </c>
    </row>
    <row r="19" spans="1:26" x14ac:dyDescent="0.25">
      <c r="L19" s="2"/>
      <c r="M19" s="2"/>
      <c r="N19" s="2"/>
      <c r="O19" s="2"/>
      <c r="P19" s="2"/>
      <c r="Q19" s="2"/>
      <c r="R19" s="2"/>
      <c r="S19" s="2"/>
      <c r="T19" s="2"/>
      <c r="U19" s="2"/>
      <c r="V19" s="2"/>
      <c r="W19" s="2"/>
      <c r="X19" s="2"/>
      <c r="Y19" s="2"/>
      <c r="Z19" s="2"/>
    </row>
    <row r="20" spans="1:26" x14ac:dyDescent="0.25">
      <c r="A20" s="7" t="s">
        <v>23</v>
      </c>
    </row>
    <row r="21" spans="1:26" ht="66.75" customHeight="1" x14ac:dyDescent="0.25">
      <c r="A21" s="45" t="s">
        <v>26</v>
      </c>
      <c r="B21" s="45"/>
      <c r="C21" s="45"/>
      <c r="D21" s="45"/>
      <c r="E21" s="45"/>
      <c r="F21" s="45"/>
    </row>
    <row r="23" spans="1:26" x14ac:dyDescent="0.25">
      <c r="A23" s="7" t="s">
        <v>24</v>
      </c>
    </row>
    <row r="24" spans="1:26" x14ac:dyDescent="0.25">
      <c r="A24" t="s">
        <v>63</v>
      </c>
    </row>
  </sheetData>
  <mergeCells count="1">
    <mergeCell ref="A21:F21"/>
  </mergeCells>
  <hyperlinks>
    <hyperlink ref="A3" r:id="rId1" xr:uid="{03D8169E-D2B4-415E-832E-18E05A57ECB4}"/>
  </hyperlinks>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8979-A80A-4D94-BC75-7B95050AEC73}">
  <dimension ref="A1:Z38"/>
  <sheetViews>
    <sheetView topLeftCell="A4" zoomScale="90" zoomScaleNormal="90" workbookViewId="0">
      <selection activeCell="A20" sqref="A20:F24"/>
    </sheetView>
  </sheetViews>
  <sheetFormatPr defaultRowHeight="15" x14ac:dyDescent="0.25"/>
  <cols>
    <col min="1" max="1" width="15.7109375" bestFit="1" customWidth="1"/>
    <col min="2" max="2" width="15.7109375" customWidth="1"/>
    <col min="19" max="19" width="13.42578125" customWidth="1"/>
    <col min="20" max="21" width="11.140625" bestFit="1" customWidth="1"/>
    <col min="23" max="23" width="11.140625" bestFit="1" customWidth="1"/>
    <col min="24" max="24" width="9"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58</v>
      </c>
    </row>
    <row r="7" spans="1:26" x14ac:dyDescent="0.25">
      <c r="A7" s="7" t="s">
        <v>59</v>
      </c>
    </row>
    <row r="8" spans="1:26" x14ac:dyDescent="0.25">
      <c r="A8" s="9"/>
      <c r="B8" s="9">
        <v>2008</v>
      </c>
      <c r="C8" s="9">
        <v>2009</v>
      </c>
      <c r="D8" s="9">
        <v>2010</v>
      </c>
      <c r="E8" s="9">
        <v>2011</v>
      </c>
      <c r="F8" s="9">
        <v>2012</v>
      </c>
      <c r="G8" s="9">
        <v>2013</v>
      </c>
      <c r="H8" s="9">
        <v>2014</v>
      </c>
      <c r="I8" s="9">
        <v>2015</v>
      </c>
      <c r="J8" s="9">
        <v>2016</v>
      </c>
      <c r="K8" s="9">
        <v>2017</v>
      </c>
      <c r="L8" s="9">
        <v>2018</v>
      </c>
      <c r="M8" s="36" t="s">
        <v>17</v>
      </c>
      <c r="N8" s="36" t="s">
        <v>11</v>
      </c>
      <c r="O8" s="36" t="s">
        <v>12</v>
      </c>
      <c r="P8" s="36" t="s">
        <v>17</v>
      </c>
      <c r="Q8" s="36" t="s">
        <v>11</v>
      </c>
      <c r="R8" s="36" t="s">
        <v>12</v>
      </c>
      <c r="S8" s="10" t="s">
        <v>13</v>
      </c>
      <c r="T8" s="10" t="s">
        <v>14</v>
      </c>
      <c r="U8" s="10" t="s">
        <v>15</v>
      </c>
      <c r="V8" s="10" t="s">
        <v>16</v>
      </c>
      <c r="W8" s="10" t="s">
        <v>13</v>
      </c>
      <c r="X8" s="10" t="s">
        <v>14</v>
      </c>
      <c r="Y8" s="10" t="s">
        <v>15</v>
      </c>
      <c r="Z8" s="10" t="s">
        <v>16</v>
      </c>
    </row>
    <row r="9" spans="1:26" x14ac:dyDescent="0.25">
      <c r="A9" s="25" t="s">
        <v>3</v>
      </c>
      <c r="B9" s="15">
        <f>57011/616899</f>
        <v>9.2415452124253727E-2</v>
      </c>
      <c r="C9" s="15">
        <f>66674/618469</f>
        <v>0.10780491827399595</v>
      </c>
      <c r="D9" s="15">
        <f>76290/602129</f>
        <v>0.12670042465983203</v>
      </c>
      <c r="E9" s="15">
        <f>76274/596532</f>
        <v>0.12786237787746507</v>
      </c>
      <c r="F9" s="15">
        <f>69932/598255</f>
        <v>0.11689329800837435</v>
      </c>
      <c r="G9" s="15">
        <f>74781/597292</f>
        <v>0.12520006964767652</v>
      </c>
      <c r="H9" s="15">
        <f>71667/598509</f>
        <v>0.11974256026225169</v>
      </c>
      <c r="I9" s="15">
        <f>69998/598106</f>
        <v>0.1170327667670948</v>
      </c>
      <c r="J9" s="15">
        <f>61766/593353</f>
        <v>0.10409654960874892</v>
      </c>
      <c r="K9" s="15">
        <f>65684/588922</f>
        <v>0.11153259684644147</v>
      </c>
      <c r="L9" s="15">
        <v>9.8000000000000004E-2</v>
      </c>
      <c r="M9" s="27" t="s">
        <v>10</v>
      </c>
      <c r="N9" s="27" t="s">
        <v>10</v>
      </c>
      <c r="O9" s="27" t="s">
        <v>10</v>
      </c>
      <c r="P9" s="27" t="s">
        <v>10</v>
      </c>
      <c r="Q9" s="27" t="s">
        <v>10</v>
      </c>
      <c r="R9" s="27" t="s">
        <v>10</v>
      </c>
      <c r="S9" s="17">
        <v>5.0999999999999997E-2</v>
      </c>
      <c r="T9" s="17">
        <v>0.122</v>
      </c>
      <c r="U9" s="17">
        <v>7.400000000000001E-2</v>
      </c>
      <c r="V9" s="17">
        <v>7.2000000000000008E-2</v>
      </c>
      <c r="W9" s="18">
        <v>8172.9539999999997</v>
      </c>
      <c r="X9" s="18">
        <v>43874.006000000001</v>
      </c>
      <c r="Y9" s="18">
        <v>2367.2600000000002</v>
      </c>
      <c r="Z9" s="18">
        <v>1008.2160000000001</v>
      </c>
    </row>
    <row r="10" spans="1:26" x14ac:dyDescent="0.25">
      <c r="A10" s="25" t="s">
        <v>4</v>
      </c>
      <c r="B10" s="15">
        <f>48805/580206</f>
        <v>8.4116675801353319E-2</v>
      </c>
      <c r="C10" s="15">
        <f>51700/611121</f>
        <v>8.4598631040334077E-2</v>
      </c>
      <c r="D10" s="15">
        <f>73684/585237</f>
        <v>0.12590454807197768</v>
      </c>
      <c r="E10" s="15">
        <f>70387/586392</f>
        <v>0.12003403866355612</v>
      </c>
      <c r="F10" s="15">
        <f>70443/595639</f>
        <v>0.11826458643574379</v>
      </c>
      <c r="G10" s="15">
        <f>69496/602704</f>
        <v>0.11530701637951632</v>
      </c>
      <c r="H10" s="15">
        <f>74083/612873</f>
        <v>0.12087822436295938</v>
      </c>
      <c r="I10" s="15">
        <f>64033/626152</f>
        <v>0.10226430643038752</v>
      </c>
      <c r="J10" s="15">
        <f>65882/628333</f>
        <v>0.10485204501434749</v>
      </c>
      <c r="K10" s="15">
        <f>61040/642003</f>
        <v>9.5077437332847348E-2</v>
      </c>
      <c r="L10" s="15">
        <v>0.09</v>
      </c>
      <c r="M10" s="27" t="s">
        <v>10</v>
      </c>
      <c r="N10" s="27" t="s">
        <v>10</v>
      </c>
      <c r="O10" s="27" t="s">
        <v>10</v>
      </c>
      <c r="P10" s="27" t="s">
        <v>10</v>
      </c>
      <c r="Q10" s="27" t="s">
        <v>10</v>
      </c>
      <c r="R10" s="27" t="s">
        <v>10</v>
      </c>
      <c r="S10" s="17">
        <v>6.0999999999999999E-2</v>
      </c>
      <c r="T10" s="17">
        <v>0.08</v>
      </c>
      <c r="U10" s="17">
        <v>0.12</v>
      </c>
      <c r="V10" s="17">
        <v>0.16399999999999998</v>
      </c>
      <c r="W10" s="18">
        <v>17288.803</v>
      </c>
      <c r="X10" s="18">
        <v>13289.52</v>
      </c>
      <c r="Y10" s="18">
        <v>16093.68</v>
      </c>
      <c r="Z10" s="18">
        <v>9889.0359999999982</v>
      </c>
    </row>
    <row r="11" spans="1:26" x14ac:dyDescent="0.25">
      <c r="A11" s="25" t="s">
        <v>2</v>
      </c>
      <c r="B11" s="15">
        <f>251502/2691144</f>
        <v>9.3455422675263758E-2</v>
      </c>
      <c r="C11" s="15">
        <f>281682/2798785</f>
        <v>0.10064438676068366</v>
      </c>
      <c r="D11" s="15">
        <f>265677/2654184</f>
        <v>0.10009743107486142</v>
      </c>
      <c r="E11" s="15">
        <f>298403/2656247</f>
        <v>0.11234007981938426</v>
      </c>
      <c r="F11" s="15">
        <f>282821/2666002</f>
        <v>0.10608431651589159</v>
      </c>
      <c r="G11" s="15">
        <f>287093/2661511</f>
        <v>0.10786842511640944</v>
      </c>
      <c r="H11" s="15">
        <f>274122/2664326</f>
        <v>0.10288605823761807</v>
      </c>
      <c r="I11" s="15">
        <f>252392/2666026</f>
        <v>9.4669744406093562E-2</v>
      </c>
      <c r="J11" s="15">
        <f>226763/2647037</f>
        <v>8.5666728496806052E-2</v>
      </c>
      <c r="K11" s="15">
        <f>225842/2664017</f>
        <v>8.4774984544017551E-2</v>
      </c>
      <c r="L11" s="15">
        <v>0.08</v>
      </c>
      <c r="M11" s="27" t="s">
        <v>10</v>
      </c>
      <c r="N11" s="27" t="s">
        <v>10</v>
      </c>
      <c r="O11" s="27" t="s">
        <v>10</v>
      </c>
      <c r="P11" s="27" t="s">
        <v>10</v>
      </c>
      <c r="Q11" s="27" t="s">
        <v>10</v>
      </c>
      <c r="R11" s="27" t="s">
        <v>10</v>
      </c>
      <c r="S11" s="17">
        <v>4.4000000000000004E-2</v>
      </c>
      <c r="T11" s="17">
        <v>0.126</v>
      </c>
      <c r="U11" s="17">
        <v>7.0000000000000007E-2</v>
      </c>
      <c r="V11" s="17">
        <v>0.109</v>
      </c>
      <c r="W11" s="18">
        <v>38505.94</v>
      </c>
      <c r="X11" s="18">
        <v>98058.365999999995</v>
      </c>
      <c r="Y11" s="18">
        <v>53862.62</v>
      </c>
      <c r="Z11" s="18">
        <v>19314.037</v>
      </c>
    </row>
    <row r="12" spans="1:26" x14ac:dyDescent="0.25">
      <c r="A12" s="25" t="s">
        <v>6</v>
      </c>
      <c r="B12" s="15">
        <f>56611/398498</f>
        <v>0.14206093882528897</v>
      </c>
      <c r="C12" s="15">
        <f>72103/417893</f>
        <v>0.17253938209063086</v>
      </c>
      <c r="D12" s="15">
        <f>64199/386935</f>
        <v>0.16591675604429684</v>
      </c>
      <c r="E12" s="15">
        <f>67657/383333</f>
        <v>0.17649667521450019</v>
      </c>
      <c r="F12" s="15">
        <f>71480/380191</f>
        <v>0.1880107630112233</v>
      </c>
      <c r="G12" s="15">
        <f>67256/378977</f>
        <v>0.17746723415932894</v>
      </c>
      <c r="H12" s="15">
        <f>72025/378725</f>
        <v>0.19017756947653311</v>
      </c>
      <c r="I12" s="15">
        <f>65424/376793</f>
        <v>0.17363379892938563</v>
      </c>
      <c r="J12" s="15">
        <f>66605/375795</f>
        <v>0.17723758964328956</v>
      </c>
      <c r="K12" s="15">
        <f>55797/375216</f>
        <v>0.14870634514519637</v>
      </c>
      <c r="L12" s="27" t="s">
        <v>10</v>
      </c>
      <c r="M12" s="27" t="s">
        <v>10</v>
      </c>
      <c r="N12" s="27" t="s">
        <v>10</v>
      </c>
      <c r="O12" s="27" t="s">
        <v>10</v>
      </c>
      <c r="P12" s="27" t="s">
        <v>10</v>
      </c>
      <c r="Q12" s="27" t="s">
        <v>10</v>
      </c>
      <c r="R12" s="27" t="s">
        <v>10</v>
      </c>
      <c r="S12" s="27" t="s">
        <v>10</v>
      </c>
      <c r="T12" s="27" t="s">
        <v>10</v>
      </c>
      <c r="U12" s="27" t="s">
        <v>10</v>
      </c>
      <c r="V12" s="27" t="s">
        <v>10</v>
      </c>
      <c r="W12" s="27" t="s">
        <v>10</v>
      </c>
      <c r="X12" s="27" t="s">
        <v>10</v>
      </c>
      <c r="Y12" s="27" t="s">
        <v>10</v>
      </c>
      <c r="Z12" s="27" t="s">
        <v>10</v>
      </c>
    </row>
    <row r="13" spans="1:26" x14ac:dyDescent="0.25">
      <c r="A13" s="25" t="s">
        <v>5</v>
      </c>
      <c r="B13" s="15">
        <f>119027/766714</f>
        <v>0.15524302412633656</v>
      </c>
      <c r="C13" s="15">
        <f>166028/897869</f>
        <v>0.18491338936971874</v>
      </c>
      <c r="D13" s="15">
        <f>133089/702010</f>
        <v>0.1895827694762183</v>
      </c>
      <c r="E13" s="15">
        <f>147977/695930</f>
        <v>0.21263201758797581</v>
      </c>
      <c r="F13" s="15">
        <f>145466/691284</f>
        <v>0.21042870947396439</v>
      </c>
      <c r="G13" s="15">
        <f>151834/678700</f>
        <v>0.22371298069839399</v>
      </c>
      <c r="H13" s="15">
        <f>136614/669071</f>
        <v>0.20418460821048887</v>
      </c>
      <c r="I13" s="15">
        <f>120802/665640</f>
        <v>0.18148248302385675</v>
      </c>
      <c r="J13" s="15">
        <f>109611/659879</f>
        <v>0.16610772581033795</v>
      </c>
      <c r="K13" s="15">
        <f>114045/660318</f>
        <v>0.1727122386486511</v>
      </c>
      <c r="L13" s="15">
        <v>0.17199999999999999</v>
      </c>
      <c r="M13" s="27" t="s">
        <v>10</v>
      </c>
      <c r="N13" s="27" t="s">
        <v>10</v>
      </c>
      <c r="O13" s="27" t="s">
        <v>10</v>
      </c>
      <c r="P13" s="27" t="s">
        <v>10</v>
      </c>
      <c r="Q13" s="27" t="s">
        <v>10</v>
      </c>
      <c r="R13" s="27" t="s">
        <v>10</v>
      </c>
      <c r="S13" s="17">
        <v>0.20499999999999999</v>
      </c>
      <c r="T13" s="17">
        <v>0.17199999999999999</v>
      </c>
      <c r="U13" s="17">
        <v>0.14599999999999999</v>
      </c>
      <c r="V13" s="17">
        <v>6.7000000000000004E-2</v>
      </c>
      <c r="W13" s="18">
        <v>14155.25</v>
      </c>
      <c r="X13" s="18">
        <v>88631.255999999994</v>
      </c>
      <c r="Y13" s="18">
        <v>7597.6939999999995</v>
      </c>
      <c r="Z13" s="18">
        <v>654.12100000000009</v>
      </c>
    </row>
    <row r="14" spans="1:26" x14ac:dyDescent="0.25">
      <c r="A14" s="25" t="s">
        <v>9</v>
      </c>
      <c r="B14" s="15">
        <f>159729/2003195</f>
        <v>7.9737119950878468E-2</v>
      </c>
      <c r="C14" s="15">
        <f>188656/2225042</f>
        <v>8.478761299786701E-2</v>
      </c>
      <c r="D14" s="15">
        <f>195751/2081481</f>
        <v>9.4044096487068587E-2</v>
      </c>
      <c r="E14" s="15">
        <f>211354/2114795</f>
        <v>9.9940656186533444E-2</v>
      </c>
      <c r="F14" s="15">
        <f>206493/2131568</f>
        <v>9.6873756783738538E-2</v>
      </c>
      <c r="G14" s="15">
        <f>198115/2163663</f>
        <v>9.1564629057297744E-2</v>
      </c>
      <c r="H14" s="15">
        <f>198193/2207229</f>
        <v>8.9792676700061483E-2</v>
      </c>
      <c r="I14" s="15">
        <f>206404/2267844</f>
        <v>9.1013314848816765E-2</v>
      </c>
      <c r="J14" s="15">
        <f>196250/2272072</f>
        <v>8.6374903612209467E-2</v>
      </c>
      <c r="K14" s="15">
        <f>195465/2278667</f>
        <v>8.5780414602045843E-2</v>
      </c>
      <c r="L14" s="15">
        <v>9.2999999999999999E-2</v>
      </c>
      <c r="M14" s="27" t="s">
        <v>10</v>
      </c>
      <c r="N14" s="27" t="s">
        <v>10</v>
      </c>
      <c r="O14" s="27" t="s">
        <v>10</v>
      </c>
      <c r="P14" s="27" t="s">
        <v>10</v>
      </c>
      <c r="Q14" s="27" t="s">
        <v>10</v>
      </c>
      <c r="R14" s="27" t="s">
        <v>10</v>
      </c>
      <c r="S14" s="17">
        <v>6.0999999999999999E-2</v>
      </c>
      <c r="T14" s="17">
        <v>0.11800000000000001</v>
      </c>
      <c r="U14" s="17">
        <v>0.10099999999999999</v>
      </c>
      <c r="V14" s="17">
        <v>7.2999999999999995E-2</v>
      </c>
      <c r="W14" s="18">
        <v>33059.438000000002</v>
      </c>
      <c r="X14" s="18">
        <v>60167.020000000004</v>
      </c>
      <c r="Y14" s="18">
        <v>104743.76699999999</v>
      </c>
      <c r="Z14" s="18">
        <v>12081.572999999999</v>
      </c>
    </row>
    <row r="15" spans="1:26" x14ac:dyDescent="0.25">
      <c r="A15" s="25" t="s">
        <v>7</v>
      </c>
      <c r="B15" s="15">
        <f>154183/1393978</f>
        <v>0.11060648015965818</v>
      </c>
      <c r="C15" s="15">
        <f>179864/1499474</f>
        <v>0.11995139628963224</v>
      </c>
      <c r="D15" s="15">
        <f>200439/1487471</f>
        <v>0.13475153465176801</v>
      </c>
      <c r="E15" s="15">
        <f>195625/1492682</f>
        <v>0.13105604542695631</v>
      </c>
      <c r="F15" s="15">
        <f>184553/1506286</f>
        <v>0.12252188495411893</v>
      </c>
      <c r="G15" s="15">
        <f>184218/1510294</f>
        <v>0.12197492673611893</v>
      </c>
      <c r="H15" s="15">
        <f>186168/1515813</f>
        <v>0.12281726044043692</v>
      </c>
      <c r="I15" s="15">
        <f>185542/1525590</f>
        <v>0.12161983232716522</v>
      </c>
      <c r="J15" s="15">
        <f>186893/1523651</f>
        <v>0.12266129185751855</v>
      </c>
      <c r="K15" s="27" t="s">
        <v>10</v>
      </c>
      <c r="L15" s="15">
        <v>0.111</v>
      </c>
      <c r="M15" s="27" t="s">
        <v>10</v>
      </c>
      <c r="N15" s="27" t="s">
        <v>10</v>
      </c>
      <c r="O15" s="27" t="s">
        <v>10</v>
      </c>
      <c r="P15" s="27" t="s">
        <v>10</v>
      </c>
      <c r="Q15" s="27" t="s">
        <v>10</v>
      </c>
      <c r="R15" s="27" t="s">
        <v>10</v>
      </c>
      <c r="S15" s="17">
        <v>6.9000000000000006E-2</v>
      </c>
      <c r="T15" s="17">
        <v>0.14000000000000001</v>
      </c>
      <c r="U15" s="17">
        <v>0.14300000000000002</v>
      </c>
      <c r="V15" s="17">
        <v>9.6000000000000002E-2</v>
      </c>
      <c r="W15" s="18">
        <v>35870.547000000006</v>
      </c>
      <c r="X15" s="18">
        <v>90152.720000000016</v>
      </c>
      <c r="Y15" s="18">
        <v>33654.478000000003</v>
      </c>
      <c r="Z15" s="18">
        <v>10659.264000000001</v>
      </c>
    </row>
    <row r="16" spans="1:26" x14ac:dyDescent="0.25">
      <c r="A16" s="25" t="s">
        <v>1</v>
      </c>
      <c r="B16" s="15">
        <f>137153/1509903</f>
        <v>9.083563646141507E-2</v>
      </c>
      <c r="C16" s="15">
        <f>160978/1576661</f>
        <v>0.10210057837417175</v>
      </c>
      <c r="D16" s="15">
        <f>162381/1430852</f>
        <v>0.11348553169719859</v>
      </c>
      <c r="E16" s="15">
        <f>157436/1450915</f>
        <v>0.10850807938438847</v>
      </c>
      <c r="F16" s="15">
        <f>171319/1472974</f>
        <v>0.11630823083095831</v>
      </c>
      <c r="G16" s="15">
        <f>168969/1497409</f>
        <v>0.11284091387189472</v>
      </c>
      <c r="H16" s="15">
        <f>161435/1516728</f>
        <v>0.10643635510124426</v>
      </c>
      <c r="I16" s="15">
        <f>165364/1545360</f>
        <v>0.10700678159134441</v>
      </c>
      <c r="J16" s="15">
        <f>143720/1595696</f>
        <v>9.0067280985851941E-2</v>
      </c>
      <c r="K16" s="15">
        <f>116046/1604181</f>
        <v>7.233971727629239E-2</v>
      </c>
      <c r="L16" s="15">
        <v>6.4000000000000001E-2</v>
      </c>
      <c r="M16" s="27" t="s">
        <v>10</v>
      </c>
      <c r="N16" s="27" t="s">
        <v>10</v>
      </c>
      <c r="O16" s="27" t="s">
        <v>10</v>
      </c>
      <c r="P16" s="27" t="s">
        <v>10</v>
      </c>
      <c r="Q16" s="27" t="s">
        <v>10</v>
      </c>
      <c r="R16" s="27" t="s">
        <v>10</v>
      </c>
      <c r="S16" s="17">
        <v>4.7E-2</v>
      </c>
      <c r="T16" s="17">
        <v>7.8E-2</v>
      </c>
      <c r="U16" s="17">
        <v>7.9000000000000001E-2</v>
      </c>
      <c r="V16" s="17">
        <v>4.7E-2</v>
      </c>
      <c r="W16" s="18">
        <v>32597.132000000001</v>
      </c>
      <c r="X16" s="18">
        <v>9381.2939999999999</v>
      </c>
      <c r="Y16" s="18">
        <v>55913.118999999999</v>
      </c>
      <c r="Z16" s="18">
        <v>2662.08</v>
      </c>
    </row>
    <row r="17" spans="1:26" x14ac:dyDescent="0.25">
      <c r="A17" s="25" t="s">
        <v>8</v>
      </c>
      <c r="B17" s="15">
        <f>31478/275923</f>
        <v>0.11408255201632339</v>
      </c>
      <c r="C17" s="15">
        <f>33945/288427</f>
        <v>0.11769009142694685</v>
      </c>
      <c r="D17" s="15">
        <f>27893/281725</f>
        <v>9.9007897772650635E-2</v>
      </c>
      <c r="E17" s="15">
        <f>36085/285186</f>
        <v>0.12653145666337057</v>
      </c>
      <c r="F17" s="15">
        <f>30364/282551</f>
        <v>0.10746378529893719</v>
      </c>
      <c r="G17" s="15">
        <f>33560/282950</f>
        <v>0.11860752783177239</v>
      </c>
      <c r="H17" s="15">
        <f>33748/282026</f>
        <v>0.11966272613163326</v>
      </c>
      <c r="I17" s="15">
        <f>31771/281330</f>
        <v>0.11293143283688195</v>
      </c>
      <c r="J17" s="15">
        <f>27454/280820</f>
        <v>9.7763692044726153E-2</v>
      </c>
      <c r="K17" s="15">
        <f>31299/279293</f>
        <v>0.11206510725295657</v>
      </c>
      <c r="L17" s="27" t="s">
        <v>10</v>
      </c>
      <c r="M17" s="27" t="s">
        <v>10</v>
      </c>
      <c r="N17" s="27" t="s">
        <v>10</v>
      </c>
      <c r="O17" s="27" t="s">
        <v>10</v>
      </c>
      <c r="P17" s="27" t="s">
        <v>10</v>
      </c>
      <c r="Q17" s="27" t="s">
        <v>10</v>
      </c>
      <c r="R17" s="27" t="s">
        <v>10</v>
      </c>
      <c r="S17" s="27" t="s">
        <v>10</v>
      </c>
      <c r="T17" s="27" t="s">
        <v>10</v>
      </c>
      <c r="U17" s="27" t="s">
        <v>10</v>
      </c>
      <c r="V17" s="27" t="s">
        <v>10</v>
      </c>
      <c r="W17" s="27" t="s">
        <v>10</v>
      </c>
      <c r="X17" s="27" t="s">
        <v>10</v>
      </c>
      <c r="Y17" s="27" t="s">
        <v>10</v>
      </c>
      <c r="Z17" s="27" t="s">
        <v>10</v>
      </c>
    </row>
    <row r="18" spans="1:26" x14ac:dyDescent="0.25">
      <c r="A18" s="29" t="s">
        <v>0</v>
      </c>
      <c r="B18" s="16">
        <f>54901/561874</f>
        <v>9.7710518728398185E-2</v>
      </c>
      <c r="C18" s="16">
        <f>61128/570093</f>
        <v>0.10722461072140861</v>
      </c>
      <c r="D18" s="16">
        <f>60988/570953</f>
        <v>0.10681789919660638</v>
      </c>
      <c r="E18" s="16">
        <f>60274/584583</f>
        <v>0.10310597468622933</v>
      </c>
      <c r="F18" s="16">
        <f>62040/598151</f>
        <v>0.10371962932436793</v>
      </c>
      <c r="G18" s="16">
        <f>63136/611788</f>
        <v>0.10319914741707911</v>
      </c>
      <c r="H18" s="16">
        <f>56790/624327</f>
        <v>9.0961947825418416E-2</v>
      </c>
      <c r="I18" s="16">
        <f>58611/638027</f>
        <v>9.1862883545680674E-2</v>
      </c>
      <c r="J18" s="16">
        <f>69581/647654</f>
        <v>0.10743545164547737</v>
      </c>
      <c r="K18" s="16">
        <f>59021/660642</f>
        <v>8.9338855234756501E-2</v>
      </c>
      <c r="L18" s="16">
        <v>9.7000000000000003E-2</v>
      </c>
      <c r="M18" s="35" t="s">
        <v>10</v>
      </c>
      <c r="N18" s="35" t="s">
        <v>10</v>
      </c>
      <c r="O18" s="35" t="s">
        <v>10</v>
      </c>
      <c r="P18" s="35" t="s">
        <v>10</v>
      </c>
      <c r="Q18" s="35" t="s">
        <v>10</v>
      </c>
      <c r="R18" s="35" t="s">
        <v>10</v>
      </c>
      <c r="S18" s="20">
        <v>0.04</v>
      </c>
      <c r="T18" s="20">
        <v>0.151</v>
      </c>
      <c r="U18" s="20">
        <v>7.0999999999999994E-2</v>
      </c>
      <c r="V18" s="20">
        <v>5.2999999999999999E-2</v>
      </c>
      <c r="W18" s="21">
        <v>9818.9600000000009</v>
      </c>
      <c r="X18" s="21">
        <v>46507.244999999995</v>
      </c>
      <c r="Y18" s="21">
        <v>5370.6529999999993</v>
      </c>
      <c r="Z18" s="21">
        <v>1289.49</v>
      </c>
    </row>
    <row r="19" spans="1:26" x14ac:dyDescent="0.25">
      <c r="S19" s="2"/>
      <c r="T19" s="2"/>
      <c r="U19" s="2"/>
      <c r="V19" s="2"/>
      <c r="W19" s="2"/>
      <c r="X19" s="2"/>
      <c r="Y19" s="2"/>
      <c r="Z19" s="2"/>
    </row>
    <row r="20" spans="1:26" x14ac:dyDescent="0.25">
      <c r="A20" s="7" t="s">
        <v>23</v>
      </c>
    </row>
    <row r="21" spans="1:26" ht="75.75" customHeight="1" x14ac:dyDescent="0.25">
      <c r="A21" s="45" t="s">
        <v>26</v>
      </c>
      <c r="B21" s="45"/>
      <c r="C21" s="45"/>
      <c r="D21" s="45"/>
      <c r="E21" s="45"/>
      <c r="F21" s="45"/>
    </row>
    <row r="23" spans="1:26" x14ac:dyDescent="0.25">
      <c r="A23" s="7" t="s">
        <v>24</v>
      </c>
    </row>
    <row r="24" spans="1:26" x14ac:dyDescent="0.25">
      <c r="A24" t="s">
        <v>60</v>
      </c>
    </row>
    <row r="31" spans="1:26" x14ac:dyDescent="0.25">
      <c r="B31" s="6"/>
      <c r="C31" s="1"/>
    </row>
    <row r="32" spans="1:26" x14ac:dyDescent="0.25">
      <c r="B32" s="6"/>
    </row>
    <row r="33" spans="2:2" x14ac:dyDescent="0.25">
      <c r="B33" s="6"/>
    </row>
    <row r="34" spans="2:2" x14ac:dyDescent="0.25">
      <c r="B34" s="6"/>
    </row>
    <row r="35" spans="2:2" x14ac:dyDescent="0.25">
      <c r="B35" s="6"/>
    </row>
    <row r="36" spans="2:2" x14ac:dyDescent="0.25">
      <c r="B36" s="6"/>
    </row>
    <row r="37" spans="2:2" x14ac:dyDescent="0.25">
      <c r="B37" s="6"/>
    </row>
    <row r="38" spans="2:2" x14ac:dyDescent="0.25">
      <c r="B38" s="6"/>
    </row>
  </sheetData>
  <mergeCells count="1">
    <mergeCell ref="A21:F21"/>
  </mergeCells>
  <hyperlinks>
    <hyperlink ref="A3" r:id="rId1" xr:uid="{31A027CF-DDDA-4C3A-B98C-FC23B89B014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9A37-9702-4CFC-99E7-B3920B2E70E8}">
  <dimension ref="A1:Z24"/>
  <sheetViews>
    <sheetView topLeftCell="A5" zoomScale="90" zoomScaleNormal="90" workbookViewId="0">
      <selection activeCell="A21" sqref="A21:F21"/>
    </sheetView>
  </sheetViews>
  <sheetFormatPr defaultRowHeight="15" x14ac:dyDescent="0.25"/>
  <cols>
    <col min="1" max="1" width="12.85546875" bestFit="1"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55</v>
      </c>
    </row>
    <row r="7" spans="1:26" x14ac:dyDescent="0.25">
      <c r="A7" s="7" t="s">
        <v>56</v>
      </c>
    </row>
    <row r="8" spans="1:26" x14ac:dyDescent="0.25">
      <c r="A8" s="9"/>
      <c r="B8" s="9">
        <v>2008</v>
      </c>
      <c r="C8" s="9">
        <v>2009</v>
      </c>
      <c r="D8" s="9">
        <v>2010</v>
      </c>
      <c r="E8" s="9">
        <v>2011</v>
      </c>
      <c r="F8" s="9">
        <v>2012</v>
      </c>
      <c r="G8" s="9">
        <v>2013</v>
      </c>
      <c r="H8" s="9">
        <v>2014</v>
      </c>
      <c r="I8" s="9">
        <v>2015</v>
      </c>
      <c r="J8" s="9">
        <v>2016</v>
      </c>
      <c r="K8" s="9">
        <v>2017</v>
      </c>
      <c r="L8" s="9">
        <v>2018</v>
      </c>
      <c r="M8" s="36" t="s">
        <v>17</v>
      </c>
      <c r="N8" s="36" t="s">
        <v>11</v>
      </c>
      <c r="O8" s="36" t="s">
        <v>12</v>
      </c>
      <c r="P8" s="36" t="s">
        <v>17</v>
      </c>
      <c r="Q8" s="36" t="s">
        <v>11</v>
      </c>
      <c r="R8" s="36" t="s">
        <v>12</v>
      </c>
      <c r="S8" s="9" t="s">
        <v>13</v>
      </c>
      <c r="T8" s="9" t="s">
        <v>14</v>
      </c>
      <c r="U8" s="9" t="s">
        <v>15</v>
      </c>
      <c r="V8" s="9" t="s">
        <v>16</v>
      </c>
      <c r="W8" s="9" t="s">
        <v>13</v>
      </c>
      <c r="X8" s="9" t="s">
        <v>14</v>
      </c>
      <c r="Y8" s="9" t="s">
        <v>15</v>
      </c>
      <c r="Z8" s="9" t="s">
        <v>16</v>
      </c>
    </row>
    <row r="9" spans="1:26" x14ac:dyDescent="0.25">
      <c r="A9" s="25" t="s">
        <v>0</v>
      </c>
      <c r="B9" s="15">
        <v>6.5000000000000002E-2</v>
      </c>
      <c r="C9" s="15">
        <v>9.2999999999999999E-2</v>
      </c>
      <c r="D9" s="15">
        <v>9.4E-2</v>
      </c>
      <c r="E9" s="15">
        <v>0.10199999999999999</v>
      </c>
      <c r="F9" s="15">
        <v>0.09</v>
      </c>
      <c r="G9" s="15">
        <v>8.5000000000000006E-2</v>
      </c>
      <c r="H9" s="15">
        <v>7.8E-2</v>
      </c>
      <c r="I9" s="15">
        <v>6.9000000000000006E-2</v>
      </c>
      <c r="J9" s="15">
        <v>6.0999999999999999E-2</v>
      </c>
      <c r="K9" s="15">
        <v>6.0999999999999999E-2</v>
      </c>
      <c r="L9" s="15">
        <v>5.6000000000000001E-2</v>
      </c>
      <c r="M9" s="27" t="s">
        <v>10</v>
      </c>
      <c r="N9" s="27" t="s">
        <v>10</v>
      </c>
      <c r="O9" s="27" t="s">
        <v>10</v>
      </c>
      <c r="P9" s="27" t="s">
        <v>10</v>
      </c>
      <c r="Q9" s="27" t="s">
        <v>10</v>
      </c>
      <c r="R9" s="27" t="s">
        <v>10</v>
      </c>
      <c r="S9" s="27" t="s">
        <v>10</v>
      </c>
      <c r="T9" s="27" t="s">
        <v>10</v>
      </c>
      <c r="U9" s="27" t="s">
        <v>10</v>
      </c>
      <c r="V9" s="27" t="s">
        <v>10</v>
      </c>
      <c r="W9" s="27" t="s">
        <v>10</v>
      </c>
      <c r="X9" s="27" t="s">
        <v>10</v>
      </c>
      <c r="Y9" s="27" t="s">
        <v>10</v>
      </c>
      <c r="Z9" s="27" t="s">
        <v>10</v>
      </c>
    </row>
    <row r="10" spans="1:26" x14ac:dyDescent="0.25">
      <c r="A10" s="25" t="s">
        <v>1</v>
      </c>
      <c r="B10" s="15">
        <v>6.3E-2</v>
      </c>
      <c r="C10" s="15">
        <v>0.107</v>
      </c>
      <c r="D10" s="15">
        <v>0.105</v>
      </c>
      <c r="E10" s="15">
        <v>9.0999999999999998E-2</v>
      </c>
      <c r="F10" s="15">
        <v>7.8E-2</v>
      </c>
      <c r="G10" s="15">
        <v>6.9000000000000006E-2</v>
      </c>
      <c r="H10" s="15">
        <v>6.0999999999999999E-2</v>
      </c>
      <c r="I10" s="15">
        <v>5.3999999999999999E-2</v>
      </c>
      <c r="J10" s="15">
        <v>4.8000000000000001E-2</v>
      </c>
      <c r="K10" s="15">
        <v>4.2999999999999997E-2</v>
      </c>
      <c r="L10" s="15">
        <v>4.2999999999999997E-2</v>
      </c>
      <c r="M10" s="27" t="s">
        <v>10</v>
      </c>
      <c r="N10" s="27" t="s">
        <v>10</v>
      </c>
      <c r="O10" s="27" t="s">
        <v>10</v>
      </c>
      <c r="P10" s="27" t="s">
        <v>10</v>
      </c>
      <c r="Q10" s="27" t="s">
        <v>10</v>
      </c>
      <c r="R10" s="27" t="s">
        <v>10</v>
      </c>
      <c r="S10" s="27" t="s">
        <v>10</v>
      </c>
      <c r="T10" s="27" t="s">
        <v>10</v>
      </c>
      <c r="U10" s="27" t="s">
        <v>10</v>
      </c>
      <c r="V10" s="27" t="s">
        <v>10</v>
      </c>
      <c r="W10" s="27" t="s">
        <v>10</v>
      </c>
      <c r="X10" s="27" t="s">
        <v>10</v>
      </c>
      <c r="Y10" s="27" t="s">
        <v>10</v>
      </c>
      <c r="Z10" s="27" t="s">
        <v>10</v>
      </c>
    </row>
    <row r="11" spans="1:26" x14ac:dyDescent="0.25">
      <c r="A11" s="25" t="s">
        <v>2</v>
      </c>
      <c r="B11" s="15">
        <v>7.0000000000000007E-2</v>
      </c>
      <c r="C11" s="15">
        <v>0.111</v>
      </c>
      <c r="D11" s="15">
        <v>0.112</v>
      </c>
      <c r="E11" s="15">
        <v>0.108</v>
      </c>
      <c r="F11" s="15">
        <v>0.1</v>
      </c>
      <c r="G11" s="15">
        <v>0.1</v>
      </c>
      <c r="H11" s="15">
        <v>7.8E-2</v>
      </c>
      <c r="I11" s="15">
        <v>6.6000000000000003E-2</v>
      </c>
      <c r="J11" s="15">
        <v>6.4000000000000001E-2</v>
      </c>
      <c r="K11" s="15">
        <v>5.2999999999999999E-2</v>
      </c>
      <c r="L11" s="15">
        <v>4.2000000000000003E-2</v>
      </c>
      <c r="M11" s="27" t="s">
        <v>10</v>
      </c>
      <c r="N11" s="27" t="s">
        <v>10</v>
      </c>
      <c r="O11" s="27" t="s">
        <v>10</v>
      </c>
      <c r="P11" s="27" t="s">
        <v>10</v>
      </c>
      <c r="Q11" s="27" t="s">
        <v>10</v>
      </c>
      <c r="R11" s="27" t="s">
        <v>10</v>
      </c>
      <c r="S11" s="27" t="s">
        <v>10</v>
      </c>
      <c r="T11" s="27" t="s">
        <v>10</v>
      </c>
      <c r="U11" s="27" t="s">
        <v>10</v>
      </c>
      <c r="V11" s="27" t="s">
        <v>10</v>
      </c>
      <c r="W11" s="27" t="s">
        <v>10</v>
      </c>
      <c r="X11" s="27" t="s">
        <v>10</v>
      </c>
      <c r="Y11" s="27" t="s">
        <v>10</v>
      </c>
      <c r="Z11" s="27" t="s">
        <v>10</v>
      </c>
    </row>
    <row r="12" spans="1:26" x14ac:dyDescent="0.25">
      <c r="A12" s="25" t="s">
        <v>3</v>
      </c>
      <c r="B12" s="15">
        <v>6.5000000000000002E-2</v>
      </c>
      <c r="C12" s="15">
        <v>0.10199999999999999</v>
      </c>
      <c r="D12" s="15">
        <v>0.112</v>
      </c>
      <c r="E12" s="15">
        <v>0.106</v>
      </c>
      <c r="F12" s="15">
        <v>0.10199999999999999</v>
      </c>
      <c r="G12" s="15">
        <v>9.7000000000000003E-2</v>
      </c>
      <c r="H12" s="15">
        <v>8.5999999999999993E-2</v>
      </c>
      <c r="I12" s="15">
        <v>7.4999999999999997E-2</v>
      </c>
      <c r="J12" s="15">
        <v>6.6000000000000003E-2</v>
      </c>
      <c r="K12" s="15">
        <v>6.3E-2</v>
      </c>
      <c r="L12" s="15">
        <v>5.7000000000000002E-2</v>
      </c>
      <c r="M12" s="27" t="s">
        <v>10</v>
      </c>
      <c r="N12" s="27" t="s">
        <v>10</v>
      </c>
      <c r="O12" s="27" t="s">
        <v>10</v>
      </c>
      <c r="P12" s="27" t="s">
        <v>10</v>
      </c>
      <c r="Q12" s="27" t="s">
        <v>10</v>
      </c>
      <c r="R12" s="27" t="s">
        <v>10</v>
      </c>
      <c r="S12" s="27" t="s">
        <v>10</v>
      </c>
      <c r="T12" s="27" t="s">
        <v>10</v>
      </c>
      <c r="U12" s="27" t="s">
        <v>10</v>
      </c>
      <c r="V12" s="27" t="s">
        <v>10</v>
      </c>
      <c r="W12" s="27" t="s">
        <v>10</v>
      </c>
      <c r="X12" s="27" t="s">
        <v>10</v>
      </c>
      <c r="Y12" s="27" t="s">
        <v>10</v>
      </c>
      <c r="Z12" s="27" t="s">
        <v>10</v>
      </c>
    </row>
    <row r="13" spans="1:26" x14ac:dyDescent="0.25">
      <c r="A13" s="25" t="s">
        <v>4</v>
      </c>
      <c r="B13" s="15">
        <v>5.2999999999999999E-2</v>
      </c>
      <c r="C13" s="15">
        <v>7.4999999999999997E-2</v>
      </c>
      <c r="D13" s="15">
        <v>7.4999999999999997E-2</v>
      </c>
      <c r="E13" s="15">
        <v>6.5000000000000002E-2</v>
      </c>
      <c r="F13" s="15">
        <v>0.06</v>
      </c>
      <c r="G13" s="15">
        <v>6.0999999999999999E-2</v>
      </c>
      <c r="H13" s="15">
        <v>5.1999999999999998E-2</v>
      </c>
      <c r="I13" s="15">
        <v>4.3999999999999997E-2</v>
      </c>
      <c r="J13" s="15">
        <v>3.5000000000000003E-2</v>
      </c>
      <c r="K13" s="15">
        <v>3.4000000000000002E-2</v>
      </c>
      <c r="L13" s="15">
        <v>0.03</v>
      </c>
      <c r="M13" s="27" t="s">
        <v>10</v>
      </c>
      <c r="N13" s="27" t="s">
        <v>10</v>
      </c>
      <c r="O13" s="27" t="s">
        <v>10</v>
      </c>
      <c r="P13" s="27" t="s">
        <v>10</v>
      </c>
      <c r="Q13" s="27" t="s">
        <v>10</v>
      </c>
      <c r="R13" s="27" t="s">
        <v>10</v>
      </c>
      <c r="S13" s="27" t="s">
        <v>10</v>
      </c>
      <c r="T13" s="27" t="s">
        <v>10</v>
      </c>
      <c r="U13" s="27" t="s">
        <v>10</v>
      </c>
      <c r="V13" s="27" t="s">
        <v>10</v>
      </c>
      <c r="W13" s="27" t="s">
        <v>10</v>
      </c>
      <c r="X13" s="27" t="s">
        <v>10</v>
      </c>
      <c r="Y13" s="27" t="s">
        <v>10</v>
      </c>
      <c r="Z13" s="27" t="s">
        <v>10</v>
      </c>
    </row>
    <row r="14" spans="1:26" x14ac:dyDescent="0.25">
      <c r="A14" s="25" t="s">
        <v>5</v>
      </c>
      <c r="B14" s="15">
        <v>0.15</v>
      </c>
      <c r="C14" s="15">
        <v>0.251</v>
      </c>
      <c r="D14" s="15">
        <v>0.248</v>
      </c>
      <c r="E14" s="15">
        <v>0.21099999999999999</v>
      </c>
      <c r="F14" s="15">
        <v>0.192</v>
      </c>
      <c r="G14" s="15">
        <v>0.189</v>
      </c>
      <c r="H14" s="15">
        <v>0.161</v>
      </c>
      <c r="I14" s="15">
        <v>0.11799999999999999</v>
      </c>
      <c r="J14" s="15">
        <v>0.108</v>
      </c>
      <c r="K14" s="15">
        <v>9.6000000000000002E-2</v>
      </c>
      <c r="L14" s="15">
        <v>0.09</v>
      </c>
      <c r="M14" s="27" t="s">
        <v>10</v>
      </c>
      <c r="N14" s="27" t="s">
        <v>10</v>
      </c>
      <c r="O14" s="27" t="s">
        <v>10</v>
      </c>
      <c r="P14" s="27" t="s">
        <v>10</v>
      </c>
      <c r="Q14" s="27" t="s">
        <v>10</v>
      </c>
      <c r="R14" s="27" t="s">
        <v>10</v>
      </c>
      <c r="S14" s="27" t="s">
        <v>10</v>
      </c>
      <c r="T14" s="27" t="s">
        <v>10</v>
      </c>
      <c r="U14" s="27" t="s">
        <v>10</v>
      </c>
      <c r="V14" s="27" t="s">
        <v>10</v>
      </c>
      <c r="W14" s="27" t="s">
        <v>10</v>
      </c>
      <c r="X14" s="27" t="s">
        <v>10</v>
      </c>
      <c r="Y14" s="27" t="s">
        <v>10</v>
      </c>
      <c r="Z14" s="27" t="s">
        <v>10</v>
      </c>
    </row>
    <row r="15" spans="1:26" x14ac:dyDescent="0.25">
      <c r="A15" s="25" t="s">
        <v>6</v>
      </c>
      <c r="B15" s="15">
        <v>7.8E-2</v>
      </c>
      <c r="C15" s="15">
        <v>0.106</v>
      </c>
      <c r="D15" s="15">
        <v>0.108</v>
      </c>
      <c r="E15" s="15">
        <v>9.7000000000000003E-2</v>
      </c>
      <c r="F15" s="15">
        <v>8.6999999999999994E-2</v>
      </c>
      <c r="G15" s="15">
        <v>8.7999999999999995E-2</v>
      </c>
      <c r="H15" s="15">
        <v>7.8E-2</v>
      </c>
      <c r="I15" s="15">
        <v>6.6000000000000003E-2</v>
      </c>
      <c r="J15" s="15">
        <v>7.0999999999999994E-2</v>
      </c>
      <c r="K15" s="15">
        <v>7.2999999999999995E-2</v>
      </c>
      <c r="L15" s="15">
        <v>6.5000000000000002E-2</v>
      </c>
      <c r="M15" s="27" t="s">
        <v>10</v>
      </c>
      <c r="N15" s="27" t="s">
        <v>10</v>
      </c>
      <c r="O15" s="27" t="s">
        <v>10</v>
      </c>
      <c r="P15" s="27" t="s">
        <v>10</v>
      </c>
      <c r="Q15" s="27" t="s">
        <v>10</v>
      </c>
      <c r="R15" s="27" t="s">
        <v>10</v>
      </c>
      <c r="S15" s="27" t="s">
        <v>10</v>
      </c>
      <c r="T15" s="27" t="s">
        <v>10</v>
      </c>
      <c r="U15" s="27" t="s">
        <v>10</v>
      </c>
      <c r="V15" s="27" t="s">
        <v>10</v>
      </c>
      <c r="W15" s="27" t="s">
        <v>10</v>
      </c>
      <c r="X15" s="27" t="s">
        <v>10</v>
      </c>
      <c r="Y15" s="27" t="s">
        <v>10</v>
      </c>
      <c r="Z15" s="27" t="s">
        <v>10</v>
      </c>
    </row>
    <row r="16" spans="1:26" x14ac:dyDescent="0.25">
      <c r="A16" s="25" t="s">
        <v>7</v>
      </c>
      <c r="B16" s="15">
        <v>7.0999999999999994E-2</v>
      </c>
      <c r="C16" s="15">
        <v>9.7000000000000003E-2</v>
      </c>
      <c r="D16" s="15">
        <v>0.106</v>
      </c>
      <c r="E16" s="15">
        <v>0.107</v>
      </c>
      <c r="F16" s="15">
        <v>0.109</v>
      </c>
      <c r="G16" s="15">
        <v>0.10299999999999999</v>
      </c>
      <c r="H16" s="15">
        <v>8.1000000000000003E-2</v>
      </c>
      <c r="I16" s="15">
        <v>7.0999999999999994E-2</v>
      </c>
      <c r="J16" s="15">
        <v>6.8000000000000005E-2</v>
      </c>
      <c r="K16" s="15">
        <v>6.2E-2</v>
      </c>
      <c r="L16" s="15">
        <v>5.5E-2</v>
      </c>
      <c r="M16" s="27" t="s">
        <v>10</v>
      </c>
      <c r="N16" s="27" t="s">
        <v>10</v>
      </c>
      <c r="O16" s="27" t="s">
        <v>10</v>
      </c>
      <c r="P16" s="27" t="s">
        <v>10</v>
      </c>
      <c r="Q16" s="27" t="s">
        <v>10</v>
      </c>
      <c r="R16" s="27" t="s">
        <v>10</v>
      </c>
      <c r="S16" s="27" t="s">
        <v>10</v>
      </c>
      <c r="T16" s="27" t="s">
        <v>10</v>
      </c>
      <c r="U16" s="27" t="s">
        <v>10</v>
      </c>
      <c r="V16" s="27" t="s">
        <v>10</v>
      </c>
      <c r="W16" s="27" t="s">
        <v>10</v>
      </c>
      <c r="X16" s="27" t="s">
        <v>10</v>
      </c>
      <c r="Y16" s="27" t="s">
        <v>10</v>
      </c>
      <c r="Z16" s="27" t="s">
        <v>10</v>
      </c>
    </row>
    <row r="17" spans="1:26" x14ac:dyDescent="0.25">
      <c r="A17" s="25" t="s">
        <v>8</v>
      </c>
      <c r="B17" s="15">
        <v>5.1999999999999998E-2</v>
      </c>
      <c r="C17" s="15">
        <v>7.0999999999999994E-2</v>
      </c>
      <c r="D17" s="15">
        <v>0.08</v>
      </c>
      <c r="E17" s="15">
        <v>7.4999999999999997E-2</v>
      </c>
      <c r="F17" s="15">
        <v>7.3999999999999996E-2</v>
      </c>
      <c r="G17" s="15">
        <v>6.8000000000000005E-2</v>
      </c>
      <c r="H17" s="15">
        <v>5.6000000000000001E-2</v>
      </c>
      <c r="I17" s="15">
        <v>5.1999999999999998E-2</v>
      </c>
      <c r="J17" s="15">
        <v>5.2999999999999999E-2</v>
      </c>
      <c r="K17" s="15">
        <v>4.9000000000000002E-2</v>
      </c>
      <c r="L17" s="15">
        <v>4.2000000000000003E-2</v>
      </c>
      <c r="M17" s="27" t="s">
        <v>10</v>
      </c>
      <c r="N17" s="27" t="s">
        <v>10</v>
      </c>
      <c r="O17" s="27" t="s">
        <v>10</v>
      </c>
      <c r="P17" s="27" t="s">
        <v>10</v>
      </c>
      <c r="Q17" s="27" t="s">
        <v>10</v>
      </c>
      <c r="R17" s="27" t="s">
        <v>10</v>
      </c>
      <c r="S17" s="27" t="s">
        <v>10</v>
      </c>
      <c r="T17" s="27" t="s">
        <v>10</v>
      </c>
      <c r="U17" s="27" t="s">
        <v>10</v>
      </c>
      <c r="V17" s="27" t="s">
        <v>10</v>
      </c>
      <c r="W17" s="27" t="s">
        <v>10</v>
      </c>
      <c r="X17" s="27" t="s">
        <v>10</v>
      </c>
      <c r="Y17" s="27" t="s">
        <v>10</v>
      </c>
      <c r="Z17" s="27" t="s">
        <v>10</v>
      </c>
    </row>
    <row r="18" spans="1:26" x14ac:dyDescent="0.25">
      <c r="A18" s="29" t="s">
        <v>9</v>
      </c>
      <c r="B18" s="16">
        <v>4.5999999999999999E-2</v>
      </c>
      <c r="C18" s="16">
        <v>7.2999999999999995E-2</v>
      </c>
      <c r="D18" s="16">
        <v>0.08</v>
      </c>
      <c r="E18" s="16">
        <v>7.5999999999999998E-2</v>
      </c>
      <c r="F18" s="16">
        <v>6.4000000000000001E-2</v>
      </c>
      <c r="G18" s="16">
        <v>5.8999999999999997E-2</v>
      </c>
      <c r="H18" s="16">
        <v>4.8000000000000001E-2</v>
      </c>
      <c r="I18" s="16">
        <v>4.2999999999999997E-2</v>
      </c>
      <c r="J18" s="16">
        <v>0.05</v>
      </c>
      <c r="K18" s="16">
        <v>4.9000000000000002E-2</v>
      </c>
      <c r="L18" s="16">
        <v>4.2000000000000003E-2</v>
      </c>
      <c r="M18" s="35" t="s">
        <v>10</v>
      </c>
      <c r="N18" s="35" t="s">
        <v>10</v>
      </c>
      <c r="O18" s="35" t="s">
        <v>10</v>
      </c>
      <c r="P18" s="35" t="s">
        <v>10</v>
      </c>
      <c r="Q18" s="35" t="s">
        <v>10</v>
      </c>
      <c r="R18" s="35" t="s">
        <v>10</v>
      </c>
      <c r="S18" s="35" t="s">
        <v>10</v>
      </c>
      <c r="T18" s="35" t="s">
        <v>10</v>
      </c>
      <c r="U18" s="35" t="s">
        <v>10</v>
      </c>
      <c r="V18" s="35" t="s">
        <v>10</v>
      </c>
      <c r="W18" s="35" t="s">
        <v>10</v>
      </c>
      <c r="X18" s="35" t="s">
        <v>10</v>
      </c>
      <c r="Y18" s="35" t="s">
        <v>10</v>
      </c>
      <c r="Z18" s="35" t="s">
        <v>10</v>
      </c>
    </row>
    <row r="20" spans="1:26" x14ac:dyDescent="0.25">
      <c r="A20" s="7" t="s">
        <v>23</v>
      </c>
    </row>
    <row r="21" spans="1:26" ht="61.5" customHeight="1" x14ac:dyDescent="0.25">
      <c r="A21" s="45"/>
      <c r="B21" s="45"/>
      <c r="C21" s="45"/>
      <c r="D21" s="45"/>
      <c r="E21" s="45"/>
      <c r="F21" s="45"/>
    </row>
    <row r="23" spans="1:26" x14ac:dyDescent="0.25">
      <c r="A23" s="7" t="s">
        <v>24</v>
      </c>
    </row>
    <row r="24" spans="1:26" x14ac:dyDescent="0.25">
      <c r="A24" t="s">
        <v>57</v>
      </c>
    </row>
  </sheetData>
  <mergeCells count="1">
    <mergeCell ref="A21:F21"/>
  </mergeCells>
  <hyperlinks>
    <hyperlink ref="A3" r:id="rId1" xr:uid="{C72B91FF-E902-48C7-9C93-2362709D4D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DF0D-15ED-4779-BD4F-0560194942DE}">
  <dimension ref="A1:Z32"/>
  <sheetViews>
    <sheetView zoomScale="90" zoomScaleNormal="90" workbookViewId="0">
      <selection activeCell="A20" sqref="A20:F24"/>
    </sheetView>
  </sheetViews>
  <sheetFormatPr defaultRowHeight="15" x14ac:dyDescent="0.25"/>
  <cols>
    <col min="1" max="1" width="12.42578125" customWidth="1"/>
    <col min="23" max="23" width="11" customWidth="1"/>
    <col min="24" max="24" width="9.5703125" bestFit="1" customWidth="1"/>
    <col min="25" max="25" width="12.5703125" bestFit="1" customWidth="1"/>
    <col min="26" max="26" width="11.42578125" bestFit="1"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54</v>
      </c>
    </row>
    <row r="7" spans="1:26" x14ac:dyDescent="0.25">
      <c r="A7" s="7" t="s">
        <v>33</v>
      </c>
    </row>
    <row r="8" spans="1:26"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0" t="s">
        <v>13</v>
      </c>
      <c r="X8" s="10" t="s">
        <v>14</v>
      </c>
      <c r="Y8" s="10" t="s">
        <v>15</v>
      </c>
      <c r="Z8" s="10" t="s">
        <v>16</v>
      </c>
    </row>
    <row r="9" spans="1:26" x14ac:dyDescent="0.25">
      <c r="A9" s="25" t="s">
        <v>3</v>
      </c>
      <c r="B9" s="15">
        <v>0.63600000000000001</v>
      </c>
      <c r="C9" s="15">
        <v>0.61499999999999999</v>
      </c>
      <c r="D9" s="15">
        <v>0.61399999999999999</v>
      </c>
      <c r="E9" s="15">
        <v>0.629</v>
      </c>
      <c r="F9" s="15">
        <v>0.624</v>
      </c>
      <c r="G9" s="15">
        <v>0.61599999999999999</v>
      </c>
      <c r="H9" s="15">
        <v>0.61</v>
      </c>
      <c r="I9" s="15">
        <v>0.60099999999999998</v>
      </c>
      <c r="J9" s="15">
        <v>0.626</v>
      </c>
      <c r="K9" s="15">
        <v>0.61699999999999999</v>
      </c>
      <c r="L9" s="17">
        <v>0.62524061084156368</v>
      </c>
      <c r="M9" s="17">
        <v>0.7239437814459897</v>
      </c>
      <c r="N9" s="17">
        <v>0.71245042275172943</v>
      </c>
      <c r="O9" s="17">
        <v>0.17633894776909442</v>
      </c>
      <c r="P9" s="18">
        <v>134245.96299999999</v>
      </c>
      <c r="Q9" s="18">
        <v>158499.55799999999</v>
      </c>
      <c r="R9" s="18">
        <v>14824.638999999999</v>
      </c>
      <c r="S9" s="17">
        <v>0.71</v>
      </c>
      <c r="T9" s="17">
        <v>0.57199999999999995</v>
      </c>
      <c r="U9" s="26">
        <v>0.755</v>
      </c>
      <c r="V9" s="27" t="s">
        <v>10</v>
      </c>
      <c r="W9" s="18">
        <v>104492.12</v>
      </c>
      <c r="X9" s="18">
        <v>170134.53599999999</v>
      </c>
      <c r="Y9" s="28">
        <v>16656.055</v>
      </c>
      <c r="Z9" s="27" t="s">
        <v>10</v>
      </c>
    </row>
    <row r="10" spans="1:26" x14ac:dyDescent="0.25">
      <c r="A10" s="25" t="s">
        <v>4</v>
      </c>
      <c r="B10" s="15">
        <v>0.69599999999999995</v>
      </c>
      <c r="C10" s="15">
        <v>0.71900000000000008</v>
      </c>
      <c r="D10" s="15">
        <v>0.68900000000000006</v>
      </c>
      <c r="E10" s="15">
        <v>0.67299999999999993</v>
      </c>
      <c r="F10" s="15">
        <v>0.68099999999999994</v>
      </c>
      <c r="G10" s="15">
        <v>0.69099999999999995</v>
      </c>
      <c r="H10" s="15">
        <v>0.67599999999999993</v>
      </c>
      <c r="I10" s="15">
        <v>0.69200000000000006</v>
      </c>
      <c r="J10" s="15">
        <v>0.69499999999999995</v>
      </c>
      <c r="K10" s="15">
        <v>0.69599999999999995</v>
      </c>
      <c r="L10" s="17">
        <v>0.68954692562058273</v>
      </c>
      <c r="M10" s="17">
        <v>0.73899981466004105</v>
      </c>
      <c r="N10" s="17">
        <v>0.79836131626672291</v>
      </c>
      <c r="O10" s="17">
        <v>0.21626408134540245</v>
      </c>
      <c r="P10" s="18">
        <v>211325.12599999999</v>
      </c>
      <c r="Q10" s="18">
        <v>182251.51800000004</v>
      </c>
      <c r="R10" s="18">
        <v>17823.187999999998</v>
      </c>
      <c r="S10" s="17">
        <v>0.72299999999999998</v>
      </c>
      <c r="T10" s="17">
        <v>0.65700000000000003</v>
      </c>
      <c r="U10" s="17">
        <v>0.69199999999999995</v>
      </c>
      <c r="V10" s="17">
        <v>0.60099999999999998</v>
      </c>
      <c r="W10" s="18">
        <v>204704.43599999999</v>
      </c>
      <c r="X10" s="18">
        <v>90078.642000000007</v>
      </c>
      <c r="Y10" s="18">
        <v>73983.103999999992</v>
      </c>
      <c r="Z10" s="18">
        <v>36656.792999999998</v>
      </c>
    </row>
    <row r="11" spans="1:26" x14ac:dyDescent="0.25">
      <c r="A11" s="25" t="s">
        <v>2</v>
      </c>
      <c r="B11" s="15">
        <v>0.66299999999999992</v>
      </c>
      <c r="C11" s="15">
        <v>0.66400000000000003</v>
      </c>
      <c r="D11" s="15">
        <v>0.65700000000000003</v>
      </c>
      <c r="E11" s="15">
        <v>0.66299999999999992</v>
      </c>
      <c r="F11" s="15">
        <v>0.66700000000000004</v>
      </c>
      <c r="G11" s="15">
        <v>0.66400000000000003</v>
      </c>
      <c r="H11" s="15">
        <v>0.65900000000000003</v>
      </c>
      <c r="I11" s="15">
        <v>0.66</v>
      </c>
      <c r="J11" s="15">
        <v>0.67</v>
      </c>
      <c r="K11" s="15">
        <v>0.66700000000000004</v>
      </c>
      <c r="L11" s="17">
        <v>0.6730364997438496</v>
      </c>
      <c r="M11" s="17">
        <v>0.7597361903253369</v>
      </c>
      <c r="N11" s="17">
        <v>0.77373105836557232</v>
      </c>
      <c r="O11" s="17">
        <v>0.1699533444663037</v>
      </c>
      <c r="P11" s="18">
        <v>657110.26600000006</v>
      </c>
      <c r="Q11" s="18">
        <v>774399.56200000015</v>
      </c>
      <c r="R11" s="18">
        <v>59434.724000000002</v>
      </c>
      <c r="S11" s="17">
        <v>0.73799999999999999</v>
      </c>
      <c r="T11" s="17">
        <v>0.58399999999999996</v>
      </c>
      <c r="U11" s="17">
        <v>0.68</v>
      </c>
      <c r="V11" s="17">
        <v>0.65700000000000003</v>
      </c>
      <c r="W11" s="18">
        <v>586707.04799999995</v>
      </c>
      <c r="X11" s="18">
        <v>374636.58399999997</v>
      </c>
      <c r="Y11" s="18">
        <v>397079.88</v>
      </c>
      <c r="Z11" s="18">
        <v>104953.122</v>
      </c>
    </row>
    <row r="12" spans="1:26" x14ac:dyDescent="0.25">
      <c r="A12" s="25" t="s">
        <v>6</v>
      </c>
      <c r="B12" s="15">
        <v>0.60299999999999998</v>
      </c>
      <c r="C12" s="15">
        <v>0.59599999999999997</v>
      </c>
      <c r="D12" s="15">
        <v>0.60399999999999998</v>
      </c>
      <c r="E12" s="15">
        <v>0.57799999999999996</v>
      </c>
      <c r="F12" s="15">
        <v>0.57600000000000007</v>
      </c>
      <c r="G12" s="15">
        <v>0.59499999999999997</v>
      </c>
      <c r="H12" s="15">
        <v>0.59</v>
      </c>
      <c r="I12" s="15">
        <v>0.57999999999999996</v>
      </c>
      <c r="J12" s="15">
        <v>0.59</v>
      </c>
      <c r="K12" s="15">
        <v>0.59199999999999997</v>
      </c>
      <c r="L12" s="17">
        <v>0.58789701450246001</v>
      </c>
      <c r="M12" s="17">
        <v>0.722957805794469</v>
      </c>
      <c r="N12" s="17">
        <v>0.64920023829597473</v>
      </c>
      <c r="O12" s="17">
        <v>0.15001890929021647</v>
      </c>
      <c r="P12" s="18">
        <v>81198.282999999996</v>
      </c>
      <c r="Q12" s="18">
        <v>93172.569000000003</v>
      </c>
      <c r="R12" s="18">
        <v>8211.284999999998</v>
      </c>
      <c r="S12" s="17">
        <v>0.61599999999999999</v>
      </c>
      <c r="T12" s="17">
        <v>0.55600000000000005</v>
      </c>
      <c r="U12" s="17">
        <v>0.61499999999999999</v>
      </c>
      <c r="V12" s="26">
        <v>0.67700000000000005</v>
      </c>
      <c r="W12" s="18">
        <v>72989.224000000002</v>
      </c>
      <c r="X12" s="18">
        <v>77833.328000000009</v>
      </c>
      <c r="Y12" s="18">
        <v>21253.17</v>
      </c>
      <c r="Z12" s="28">
        <v>6587.21</v>
      </c>
    </row>
    <row r="13" spans="1:26" x14ac:dyDescent="0.25">
      <c r="A13" s="25" t="s">
        <v>5</v>
      </c>
      <c r="B13" s="15">
        <v>0.55299999999999994</v>
      </c>
      <c r="C13" s="15">
        <v>0.54200000000000004</v>
      </c>
      <c r="D13" s="15">
        <v>0.54700000000000004</v>
      </c>
      <c r="E13" s="15">
        <v>0.52900000000000003</v>
      </c>
      <c r="F13" s="15">
        <v>0.52100000000000002</v>
      </c>
      <c r="G13" s="15">
        <v>0.52900000000000003</v>
      </c>
      <c r="H13" s="15">
        <v>0.53900000000000003</v>
      </c>
      <c r="I13" s="15">
        <v>0.53</v>
      </c>
      <c r="J13" s="15">
        <v>0.55200000000000005</v>
      </c>
      <c r="K13" s="15">
        <v>0.53</v>
      </c>
      <c r="L13" s="17">
        <v>0.54537972457969419</v>
      </c>
      <c r="M13" s="17">
        <v>0.68926195488563524</v>
      </c>
      <c r="N13" s="17">
        <v>0.60458683557906923</v>
      </c>
      <c r="O13" s="17">
        <v>0.10328822523603691</v>
      </c>
      <c r="P13" s="18">
        <v>130963.90700000001</v>
      </c>
      <c r="Q13" s="18">
        <v>146273.739</v>
      </c>
      <c r="R13" s="18">
        <v>9725.5159999999996</v>
      </c>
      <c r="S13" s="17">
        <v>0.52700000000000002</v>
      </c>
      <c r="T13" s="17">
        <v>0.54200000000000004</v>
      </c>
      <c r="U13" s="17">
        <v>0.61</v>
      </c>
      <c r="V13" s="27" t="s">
        <v>10</v>
      </c>
      <c r="W13" s="18">
        <v>32486.388000000003</v>
      </c>
      <c r="X13" s="18">
        <v>222056.85800000001</v>
      </c>
      <c r="Y13" s="18">
        <v>21547.03</v>
      </c>
      <c r="Z13" s="27" t="s">
        <v>10</v>
      </c>
    </row>
    <row r="14" spans="1:26" x14ac:dyDescent="0.25">
      <c r="A14" s="25" t="s">
        <v>9</v>
      </c>
      <c r="B14" s="15">
        <v>0.69799999999999995</v>
      </c>
      <c r="C14" s="15">
        <v>0.68799999999999994</v>
      </c>
      <c r="D14" s="15">
        <v>0.67</v>
      </c>
      <c r="E14" s="15">
        <v>0.68200000000000005</v>
      </c>
      <c r="F14" s="15">
        <v>0.68200000000000005</v>
      </c>
      <c r="G14" s="15">
        <v>0.69</v>
      </c>
      <c r="H14" s="15">
        <v>0.68200000000000005</v>
      </c>
      <c r="I14" s="15">
        <v>0.68099999999999994</v>
      </c>
      <c r="J14" s="15">
        <v>0.67500000000000004</v>
      </c>
      <c r="K14" s="15">
        <v>0.66200000000000003</v>
      </c>
      <c r="L14" s="17">
        <v>0.67036450693096039</v>
      </c>
      <c r="M14" s="17">
        <v>0.71057700808662849</v>
      </c>
      <c r="N14" s="17">
        <v>0.7651327892541393</v>
      </c>
      <c r="O14" s="17">
        <v>0.22762909701853803</v>
      </c>
      <c r="P14" s="18">
        <v>510528.26299999998</v>
      </c>
      <c r="Q14" s="18">
        <v>644924.30700000003</v>
      </c>
      <c r="R14" s="18">
        <v>55955.557000000001</v>
      </c>
      <c r="S14" s="17">
        <v>0.66700000000000004</v>
      </c>
      <c r="T14" s="17">
        <v>0.64700000000000002</v>
      </c>
      <c r="U14" s="17">
        <v>0.68899999999999995</v>
      </c>
      <c r="V14" s="17">
        <v>0.63800000000000001</v>
      </c>
      <c r="W14" s="18">
        <v>316310.076</v>
      </c>
      <c r="X14" s="18">
        <v>265873.65100000001</v>
      </c>
      <c r="Y14" s="18">
        <v>519291.72099999996</v>
      </c>
      <c r="Z14" s="18">
        <v>91352.668000000005</v>
      </c>
    </row>
    <row r="15" spans="1:26" x14ac:dyDescent="0.25">
      <c r="A15" s="25" t="s">
        <v>7</v>
      </c>
      <c r="B15" s="15">
        <v>0.58700000000000008</v>
      </c>
      <c r="C15" s="15">
        <v>0.60099999999999998</v>
      </c>
      <c r="D15" s="15">
        <v>0.57899999999999996</v>
      </c>
      <c r="E15" s="15">
        <v>0.58200000000000007</v>
      </c>
      <c r="F15" s="15">
        <v>0.58899999999999997</v>
      </c>
      <c r="G15" s="15">
        <v>0.59699999999999998</v>
      </c>
      <c r="H15" s="15">
        <v>0.59799999999999998</v>
      </c>
      <c r="I15" s="15">
        <v>0.60399999999999998</v>
      </c>
      <c r="J15" s="15">
        <v>0.59699999999999998</v>
      </c>
      <c r="K15" s="27" t="s">
        <v>10</v>
      </c>
      <c r="L15" s="17">
        <v>0.61085293099618632</v>
      </c>
      <c r="M15" s="17">
        <v>0.7076477418254955</v>
      </c>
      <c r="N15" s="17">
        <v>0.6957146335038269</v>
      </c>
      <c r="O15" s="17">
        <v>0.16678012097054531</v>
      </c>
      <c r="P15" s="18">
        <v>348672.90299999999</v>
      </c>
      <c r="Q15" s="18">
        <v>393505.24100000004</v>
      </c>
      <c r="R15" s="18">
        <v>35983.645000000004</v>
      </c>
      <c r="S15" s="17">
        <v>0.64500000000000002</v>
      </c>
      <c r="T15" s="17">
        <v>0.59</v>
      </c>
      <c r="U15" s="17">
        <v>0.57399999999999995</v>
      </c>
      <c r="V15" s="17">
        <v>0.622</v>
      </c>
      <c r="W15" s="18">
        <v>306004.77</v>
      </c>
      <c r="X15" s="18">
        <v>301997.99</v>
      </c>
      <c r="Y15" s="18">
        <v>96814.283999999985</v>
      </c>
      <c r="Z15" s="18">
        <v>61000.161999999997</v>
      </c>
    </row>
    <row r="16" spans="1:26" x14ac:dyDescent="0.25">
      <c r="A16" s="25" t="s">
        <v>1</v>
      </c>
      <c r="B16" s="15">
        <v>0.69</v>
      </c>
      <c r="C16" s="15">
        <v>0.67400000000000004</v>
      </c>
      <c r="D16" s="15">
        <v>0.65400000000000003</v>
      </c>
      <c r="E16" s="15">
        <v>0.66900000000000004</v>
      </c>
      <c r="F16" s="15">
        <v>0.65700000000000003</v>
      </c>
      <c r="G16" s="15">
        <v>0.65</v>
      </c>
      <c r="H16" s="15">
        <v>0.65500000000000003</v>
      </c>
      <c r="I16" s="15">
        <v>0.64700000000000002</v>
      </c>
      <c r="J16" s="15">
        <v>0.66900000000000004</v>
      </c>
      <c r="K16" s="15">
        <v>0.67300000000000004</v>
      </c>
      <c r="L16" s="17">
        <v>0.68527723294053078</v>
      </c>
      <c r="M16" s="17">
        <v>0.74495790058589439</v>
      </c>
      <c r="N16" s="17">
        <v>0.77954106398108503</v>
      </c>
      <c r="O16" s="17">
        <v>0.19696596511452219</v>
      </c>
      <c r="P16" s="18">
        <v>364662.85200000001</v>
      </c>
      <c r="Q16" s="18">
        <v>479059.94499999995</v>
      </c>
      <c r="R16" s="18">
        <v>35197.620999999999</v>
      </c>
      <c r="S16" s="17">
        <v>0.67300000000000004</v>
      </c>
      <c r="T16" s="17">
        <v>0.70499999999999996</v>
      </c>
      <c r="U16" s="17">
        <v>0.69199999999999995</v>
      </c>
      <c r="V16" s="17">
        <v>0.67400000000000004</v>
      </c>
      <c r="W16" s="18">
        <v>403530.12700000004</v>
      </c>
      <c r="X16" s="18">
        <v>65388.749999999993</v>
      </c>
      <c r="Y16" s="18">
        <v>346095.49599999998</v>
      </c>
      <c r="Z16" s="18">
        <v>32385.026000000002</v>
      </c>
    </row>
    <row r="17" spans="1:26" x14ac:dyDescent="0.25">
      <c r="A17" s="25" t="s">
        <v>8</v>
      </c>
      <c r="B17" s="15">
        <v>0.60799999999999998</v>
      </c>
      <c r="C17" s="15">
        <v>0.61699999999999999</v>
      </c>
      <c r="D17" s="15">
        <v>0.623</v>
      </c>
      <c r="E17" s="15">
        <v>0.59699999999999998</v>
      </c>
      <c r="F17" s="15">
        <v>0.629</v>
      </c>
      <c r="G17" s="15">
        <v>0.63100000000000001</v>
      </c>
      <c r="H17" s="15">
        <v>0.624</v>
      </c>
      <c r="I17" s="15">
        <v>0.61399999999999999</v>
      </c>
      <c r="J17" s="15">
        <v>0.63600000000000001</v>
      </c>
      <c r="K17" s="15">
        <v>0.63200000000000001</v>
      </c>
      <c r="L17" s="17">
        <v>0.62831284153005462</v>
      </c>
      <c r="M17" s="17">
        <v>0.69776247410074388</v>
      </c>
      <c r="N17" s="17">
        <v>0.75674628605014083</v>
      </c>
      <c r="O17" s="17">
        <v>0.184491948846497</v>
      </c>
      <c r="P17" s="18">
        <v>82171.3</v>
      </c>
      <c r="Q17" s="18">
        <v>74677.236999999994</v>
      </c>
      <c r="R17" s="18">
        <v>8684.7739999999994</v>
      </c>
      <c r="S17" s="17">
        <v>0.66200000000000003</v>
      </c>
      <c r="T17" s="17">
        <v>0.53400000000000003</v>
      </c>
      <c r="U17" s="27" t="s">
        <v>10</v>
      </c>
      <c r="V17" s="26">
        <v>0.53900000000000003</v>
      </c>
      <c r="W17" s="18">
        <v>117390.474</v>
      </c>
      <c r="X17" s="18">
        <v>29329.95</v>
      </c>
      <c r="Y17" s="27" t="s">
        <v>10</v>
      </c>
      <c r="Z17" s="28">
        <v>8448.2860000000001</v>
      </c>
    </row>
    <row r="18" spans="1:26" x14ac:dyDescent="0.25">
      <c r="A18" s="29" t="s">
        <v>0</v>
      </c>
      <c r="B18" s="16">
        <v>0.68</v>
      </c>
      <c r="C18" s="16">
        <v>0.66700000000000004</v>
      </c>
      <c r="D18" s="16">
        <v>0.66799999999999993</v>
      </c>
      <c r="E18" s="16">
        <v>0.67400000000000004</v>
      </c>
      <c r="F18" s="16">
        <v>0.69</v>
      </c>
      <c r="G18" s="16">
        <v>0.68799999999999994</v>
      </c>
      <c r="H18" s="16">
        <v>0.68900000000000006</v>
      </c>
      <c r="I18" s="16">
        <v>0.69799999999999995</v>
      </c>
      <c r="J18" s="16">
        <v>0.69299999999999995</v>
      </c>
      <c r="K18" s="16">
        <v>0.70499999999999996</v>
      </c>
      <c r="L18" s="20">
        <v>0.70702198997881838</v>
      </c>
      <c r="M18" s="20">
        <v>0.76951644508890482</v>
      </c>
      <c r="N18" s="20">
        <v>0.81173062294141785</v>
      </c>
      <c r="O18" s="20">
        <v>0.21844368532922245</v>
      </c>
      <c r="P18" s="21">
        <v>192109.011</v>
      </c>
      <c r="Q18" s="21">
        <v>203811.76</v>
      </c>
      <c r="R18" s="21">
        <v>18704.459000000003</v>
      </c>
      <c r="S18" s="20">
        <v>0.79800000000000004</v>
      </c>
      <c r="T18" s="20">
        <v>0.60299999999999998</v>
      </c>
      <c r="U18" s="20">
        <v>0.77300000000000002</v>
      </c>
      <c r="V18" s="30">
        <v>0.76400000000000001</v>
      </c>
      <c r="W18" s="21">
        <v>185577.29400000002</v>
      </c>
      <c r="X18" s="21">
        <v>154904.66999999998</v>
      </c>
      <c r="Y18" s="21">
        <v>45855.906000000003</v>
      </c>
      <c r="Z18" s="31">
        <v>19915.952000000001</v>
      </c>
    </row>
    <row r="19" spans="1:26" x14ac:dyDescent="0.25">
      <c r="L19" s="2"/>
      <c r="M19" s="2"/>
      <c r="N19" s="2"/>
      <c r="O19" s="5"/>
      <c r="P19" s="2"/>
      <c r="Q19" s="2"/>
      <c r="R19" s="2"/>
      <c r="S19" s="2"/>
      <c r="T19" s="2"/>
      <c r="U19" s="2"/>
      <c r="V19" s="2"/>
      <c r="W19" s="2"/>
      <c r="X19" s="2"/>
      <c r="Y19" s="2"/>
      <c r="Z19" s="2"/>
    </row>
    <row r="20" spans="1:26" ht="15" customHeight="1" x14ac:dyDescent="0.25">
      <c r="A20" s="7" t="s">
        <v>23</v>
      </c>
    </row>
    <row r="21" spans="1:26" ht="62.25" customHeight="1" x14ac:dyDescent="0.25">
      <c r="A21" s="45" t="s">
        <v>26</v>
      </c>
      <c r="B21" s="45"/>
      <c r="C21" s="45"/>
      <c r="D21" s="45"/>
      <c r="E21" s="45"/>
      <c r="F21" s="45"/>
    </row>
    <row r="23" spans="1:26" x14ac:dyDescent="0.25">
      <c r="A23" s="7" t="s">
        <v>24</v>
      </c>
    </row>
    <row r="24" spans="1:26" x14ac:dyDescent="0.25">
      <c r="A24" t="s">
        <v>34</v>
      </c>
    </row>
    <row r="32" spans="1:26" x14ac:dyDescent="0.25">
      <c r="M32" s="1"/>
    </row>
  </sheetData>
  <mergeCells count="1">
    <mergeCell ref="A21:F21"/>
  </mergeCells>
  <hyperlinks>
    <hyperlink ref="A3" r:id="rId1" xr:uid="{6FD2D8F0-C366-4B73-8F08-18D396434D27}"/>
  </hyperlinks>
  <pageMargins left="0.7" right="0.7" top="0.75" bottom="0.75" header="0.3" footer="0.3"/>
  <pageSetup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13B3F-614E-4FBA-920C-F52F38162399}">
  <dimension ref="A1:Z24"/>
  <sheetViews>
    <sheetView zoomScale="90" zoomScaleNormal="90" workbookViewId="0">
      <selection activeCell="K16" sqref="K16"/>
    </sheetView>
  </sheetViews>
  <sheetFormatPr defaultRowHeight="15" x14ac:dyDescent="0.25"/>
  <cols>
    <col min="1" max="1" width="12.85546875" bestFit="1" customWidth="1"/>
    <col min="2" max="15" width="9.140625" customWidth="1"/>
    <col min="16" max="16" width="11.85546875" bestFit="1" customWidth="1"/>
    <col min="17" max="17" width="11.140625" bestFit="1" customWidth="1"/>
    <col min="18" max="18" width="11.140625" customWidth="1"/>
    <col min="23" max="23" width="11.5703125" customWidth="1"/>
    <col min="24" max="24" width="11.140625" bestFit="1" customWidth="1"/>
  </cols>
  <sheetData>
    <row r="1" spans="1:26" x14ac:dyDescent="0.25">
      <c r="A1" s="7" t="s">
        <v>18</v>
      </c>
    </row>
    <row r="2" spans="1:26" x14ac:dyDescent="0.25">
      <c r="A2" s="7" t="s">
        <v>19</v>
      </c>
    </row>
    <row r="3" spans="1:26" x14ac:dyDescent="0.25">
      <c r="A3" s="8" t="s">
        <v>20</v>
      </c>
    </row>
    <row r="4" spans="1:26" x14ac:dyDescent="0.25">
      <c r="A4" s="7" t="s">
        <v>21</v>
      </c>
    </row>
    <row r="5" spans="1:26" x14ac:dyDescent="0.25">
      <c r="A5" s="7"/>
    </row>
    <row r="6" spans="1:26" x14ac:dyDescent="0.25">
      <c r="A6" s="7" t="s">
        <v>53</v>
      </c>
    </row>
    <row r="7" spans="1:26" x14ac:dyDescent="0.25">
      <c r="A7" s="7" t="s">
        <v>22</v>
      </c>
    </row>
    <row r="8" spans="1:26" s="34" customFormat="1" x14ac:dyDescent="0.25">
      <c r="A8" s="9"/>
      <c r="B8" s="9">
        <v>2008</v>
      </c>
      <c r="C8" s="9">
        <v>2009</v>
      </c>
      <c r="D8" s="9">
        <v>2010</v>
      </c>
      <c r="E8" s="9">
        <v>2011</v>
      </c>
      <c r="F8" s="9">
        <v>2012</v>
      </c>
      <c r="G8" s="9">
        <v>2013</v>
      </c>
      <c r="H8" s="9">
        <v>2014</v>
      </c>
      <c r="I8" s="9">
        <v>2015</v>
      </c>
      <c r="J8" s="9">
        <v>2016</v>
      </c>
      <c r="K8" s="9">
        <v>2017</v>
      </c>
      <c r="L8" s="10">
        <v>2018</v>
      </c>
      <c r="M8" s="11" t="s">
        <v>17</v>
      </c>
      <c r="N8" s="11" t="s">
        <v>11</v>
      </c>
      <c r="O8" s="11" t="s">
        <v>12</v>
      </c>
      <c r="P8" s="11" t="s">
        <v>17</v>
      </c>
      <c r="Q8" s="11" t="s">
        <v>11</v>
      </c>
      <c r="R8" s="11" t="s">
        <v>12</v>
      </c>
      <c r="S8" s="10" t="s">
        <v>13</v>
      </c>
      <c r="T8" s="10" t="s">
        <v>14</v>
      </c>
      <c r="U8" s="10" t="s">
        <v>15</v>
      </c>
      <c r="V8" s="10" t="s">
        <v>16</v>
      </c>
      <c r="W8" s="12" t="s">
        <v>13</v>
      </c>
      <c r="X8" s="12" t="s">
        <v>14</v>
      </c>
      <c r="Y8" s="12" t="s">
        <v>15</v>
      </c>
      <c r="Z8" s="12" t="s">
        <v>16</v>
      </c>
    </row>
    <row r="9" spans="1:26" x14ac:dyDescent="0.25">
      <c r="A9" s="13" t="s">
        <v>0</v>
      </c>
      <c r="B9" s="15">
        <v>0.111</v>
      </c>
      <c r="C9" s="15">
        <v>0.123</v>
      </c>
      <c r="D9" s="15">
        <v>0.111</v>
      </c>
      <c r="E9" s="15">
        <v>0.111</v>
      </c>
      <c r="F9" s="15">
        <v>0.114</v>
      </c>
      <c r="G9" s="15">
        <v>0.108</v>
      </c>
      <c r="H9" s="15">
        <v>0.11700000000000001</v>
      </c>
      <c r="I9" s="15">
        <v>0.115</v>
      </c>
      <c r="J9" s="15">
        <v>0.113</v>
      </c>
      <c r="K9" s="15">
        <v>0.13400000000000001</v>
      </c>
      <c r="L9" s="17">
        <v>0.11600000000000001</v>
      </c>
      <c r="M9" s="17">
        <v>4.5275525218218628E-2</v>
      </c>
      <c r="N9" s="17">
        <v>0.13700000000000001</v>
      </c>
      <c r="O9" s="17">
        <v>0.36023244668104482</v>
      </c>
      <c r="P9" s="18">
        <v>16370</v>
      </c>
      <c r="Q9" s="18">
        <v>33933</v>
      </c>
      <c r="R9" s="18">
        <v>30065</v>
      </c>
      <c r="S9" s="19">
        <v>5.8000000000000003E-2</v>
      </c>
      <c r="T9" s="19">
        <v>0.17599999999999999</v>
      </c>
      <c r="U9" s="19">
        <v>0.09</v>
      </c>
      <c r="V9" s="19">
        <v>6.9000000000000006E-2</v>
      </c>
      <c r="W9" s="18">
        <v>14768</v>
      </c>
      <c r="X9" s="18">
        <v>55187</v>
      </c>
      <c r="Y9" s="18">
        <v>7134</v>
      </c>
      <c r="Z9" s="18">
        <v>1884</v>
      </c>
    </row>
    <row r="10" spans="1:26" x14ac:dyDescent="0.25">
      <c r="A10" s="13" t="s">
        <v>1</v>
      </c>
      <c r="B10" s="15">
        <v>0.10199999999999999</v>
      </c>
      <c r="C10" s="15">
        <v>8.8999999999999996E-2</v>
      </c>
      <c r="D10" s="15">
        <v>9.0999999999999998E-2</v>
      </c>
      <c r="E10" s="15">
        <v>9.5000000000000001E-2</v>
      </c>
      <c r="F10" s="15">
        <v>9.2999999999999999E-2</v>
      </c>
      <c r="G10" s="15">
        <v>9.6000000000000002E-2</v>
      </c>
      <c r="H10" s="15">
        <v>9.9000000000000005E-2</v>
      </c>
      <c r="I10" s="15">
        <v>0.107</v>
      </c>
      <c r="J10" s="15">
        <v>0.111</v>
      </c>
      <c r="K10" s="15">
        <v>0.104</v>
      </c>
      <c r="L10" s="17">
        <v>0.104</v>
      </c>
      <c r="M10" s="17">
        <v>5.003760701194037E-2</v>
      </c>
      <c r="N10" s="17">
        <v>0.113</v>
      </c>
      <c r="O10" s="17">
        <v>0.33873485594054364</v>
      </c>
      <c r="P10" s="18">
        <v>43176</v>
      </c>
      <c r="Q10" s="18">
        <v>68909</v>
      </c>
      <c r="R10" s="18">
        <v>59889</v>
      </c>
      <c r="S10" s="19">
        <v>0.13500000000000001</v>
      </c>
      <c r="T10" s="19">
        <v>0.114</v>
      </c>
      <c r="U10" s="19">
        <v>7.5999999999999998E-2</v>
      </c>
      <c r="V10" s="19">
        <v>6.6000000000000003E-2</v>
      </c>
      <c r="W10" s="18">
        <v>94207</v>
      </c>
      <c r="X10" s="18">
        <v>13779</v>
      </c>
      <c r="Y10" s="18">
        <v>53916</v>
      </c>
      <c r="Z10" s="18">
        <v>3797</v>
      </c>
    </row>
    <row r="11" spans="1:26" x14ac:dyDescent="0.25">
      <c r="A11" s="13" t="s">
        <v>2</v>
      </c>
      <c r="B11" s="15">
        <v>0.112</v>
      </c>
      <c r="C11" s="15">
        <v>0.10299999999999999</v>
      </c>
      <c r="D11" s="15">
        <v>0.1</v>
      </c>
      <c r="E11" s="15">
        <v>0.111</v>
      </c>
      <c r="F11" s="15">
        <v>0.111</v>
      </c>
      <c r="G11" s="15">
        <v>0.109</v>
      </c>
      <c r="H11" s="15">
        <v>0.109</v>
      </c>
      <c r="I11" s="15">
        <v>0.10299999999999999</v>
      </c>
      <c r="J11" s="15">
        <v>0.10100000000000001</v>
      </c>
      <c r="K11" s="15">
        <v>0.105</v>
      </c>
      <c r="L11" s="17">
        <v>0.105</v>
      </c>
      <c r="M11" s="17">
        <v>3.9959460232613264E-2</v>
      </c>
      <c r="N11" s="17">
        <v>0.114</v>
      </c>
      <c r="O11" s="17">
        <v>0.33423172679443819</v>
      </c>
      <c r="P11" s="18">
        <v>53779</v>
      </c>
      <c r="Q11" s="18">
        <v>112692</v>
      </c>
      <c r="R11" s="18">
        <v>113842</v>
      </c>
      <c r="S11" s="19">
        <v>8.8999999999999996E-2</v>
      </c>
      <c r="T11" s="19">
        <v>0.16500000000000001</v>
      </c>
      <c r="U11" s="19">
        <v>7.2999999999999995E-2</v>
      </c>
      <c r="V11" s="19">
        <v>6.9000000000000006E-2</v>
      </c>
      <c r="W11" s="18">
        <v>79057</v>
      </c>
      <c r="X11" s="18">
        <v>129016</v>
      </c>
      <c r="Y11" s="18">
        <v>56243</v>
      </c>
      <c r="Z11" s="18">
        <v>12489</v>
      </c>
    </row>
    <row r="12" spans="1:26" x14ac:dyDescent="0.25">
      <c r="A12" s="13" t="s">
        <v>3</v>
      </c>
      <c r="B12" s="15">
        <v>0.156</v>
      </c>
      <c r="C12" s="15">
        <v>0.14399999999999999</v>
      </c>
      <c r="D12" s="15">
        <v>0.151</v>
      </c>
      <c r="E12" s="15">
        <v>0.156</v>
      </c>
      <c r="F12" s="15">
        <v>0.155</v>
      </c>
      <c r="G12" s="15">
        <v>0.161</v>
      </c>
      <c r="H12" s="15">
        <v>0.14599999999999999</v>
      </c>
      <c r="I12" s="15">
        <v>0.155</v>
      </c>
      <c r="J12" s="15">
        <v>0.14899999999999999</v>
      </c>
      <c r="K12" s="15">
        <v>0.155</v>
      </c>
      <c r="L12" s="17">
        <v>0.156</v>
      </c>
      <c r="M12" s="17">
        <v>6.7652482753910254E-2</v>
      </c>
      <c r="N12" s="17">
        <v>0.188</v>
      </c>
      <c r="O12" s="17">
        <v>0.39018980749672216</v>
      </c>
      <c r="P12" s="18">
        <v>19810</v>
      </c>
      <c r="Q12" s="18">
        <v>41285</v>
      </c>
      <c r="R12" s="18">
        <v>31843</v>
      </c>
      <c r="S12" s="19">
        <v>0.122</v>
      </c>
      <c r="T12" s="19">
        <v>0.183</v>
      </c>
      <c r="U12" s="19">
        <v>6.8000000000000005E-2</v>
      </c>
      <c r="V12" s="19">
        <v>5.0999999999999997E-2</v>
      </c>
      <c r="W12" s="18">
        <v>20178</v>
      </c>
      <c r="X12" s="18">
        <v>67041</v>
      </c>
      <c r="Y12" s="18">
        <v>2228</v>
      </c>
      <c r="Z12" s="18">
        <v>794</v>
      </c>
    </row>
    <row r="13" spans="1:26" x14ac:dyDescent="0.25">
      <c r="A13" s="13" t="s">
        <v>4</v>
      </c>
      <c r="B13" s="15">
        <v>0.124</v>
      </c>
      <c r="C13" s="15">
        <v>0.122</v>
      </c>
      <c r="D13" s="15">
        <v>0.107</v>
      </c>
      <c r="E13" s="15">
        <v>0.11</v>
      </c>
      <c r="F13" s="15">
        <v>0.124</v>
      </c>
      <c r="G13" s="15">
        <v>0.126</v>
      </c>
      <c r="H13" s="15">
        <v>0.128</v>
      </c>
      <c r="I13" s="15">
        <v>0.123</v>
      </c>
      <c r="J13" s="15">
        <v>0.11799999999999999</v>
      </c>
      <c r="K13" s="15">
        <v>0.126</v>
      </c>
      <c r="L13" s="17">
        <v>0.11899999999999999</v>
      </c>
      <c r="M13" s="17">
        <v>5.0055643444107657E-2</v>
      </c>
      <c r="N13" s="17">
        <v>0.13300000000000001</v>
      </c>
      <c r="O13" s="17">
        <v>0.4112300796812749</v>
      </c>
      <c r="P13" s="18">
        <v>19206</v>
      </c>
      <c r="Q13" s="18">
        <v>30075</v>
      </c>
      <c r="R13" s="18">
        <v>33030</v>
      </c>
      <c r="S13" s="19">
        <v>9.7000000000000003E-2</v>
      </c>
      <c r="T13" s="19">
        <v>0.156</v>
      </c>
      <c r="U13" s="19">
        <v>0.13900000000000001</v>
      </c>
      <c r="V13" s="19">
        <v>8.1000000000000003E-2</v>
      </c>
      <c r="W13" s="18">
        <v>29772</v>
      </c>
      <c r="X13" s="18">
        <v>26430</v>
      </c>
      <c r="Y13" s="18">
        <v>19265</v>
      </c>
      <c r="Z13" s="18">
        <v>5367</v>
      </c>
    </row>
    <row r="14" spans="1:26" x14ac:dyDescent="0.25">
      <c r="A14" s="13" t="s">
        <v>5</v>
      </c>
      <c r="B14" s="15">
        <v>0.19400000000000001</v>
      </c>
      <c r="C14" s="15">
        <v>0.192</v>
      </c>
      <c r="D14" s="15">
        <v>0.19500000000000001</v>
      </c>
      <c r="E14" s="15">
        <v>0.185</v>
      </c>
      <c r="F14" s="15">
        <v>0.19900000000000001</v>
      </c>
      <c r="G14" s="15">
        <v>0.21099999999999999</v>
      </c>
      <c r="H14" s="15">
        <v>0.19800000000000001</v>
      </c>
      <c r="I14" s="15">
        <v>0.20200000000000001</v>
      </c>
      <c r="J14" s="15">
        <v>0.19400000000000001</v>
      </c>
      <c r="K14" s="15">
        <v>0.192</v>
      </c>
      <c r="L14" s="17">
        <v>0.189</v>
      </c>
      <c r="M14" s="17">
        <v>7.6637104720953142E-2</v>
      </c>
      <c r="N14" s="17">
        <v>0.25</v>
      </c>
      <c r="O14" s="17">
        <v>0.44010030527692978</v>
      </c>
      <c r="P14" s="18">
        <v>25665</v>
      </c>
      <c r="Q14" s="18">
        <v>59970</v>
      </c>
      <c r="R14" s="18">
        <v>40366</v>
      </c>
      <c r="S14" s="19">
        <v>0.19500000000000001</v>
      </c>
      <c r="T14" s="19">
        <v>0.19400000000000001</v>
      </c>
      <c r="U14" s="19">
        <v>0.127</v>
      </c>
      <c r="V14" s="19">
        <v>9.0999999999999998E-2</v>
      </c>
      <c r="W14" s="18">
        <v>13807</v>
      </c>
      <c r="X14" s="18">
        <v>100723</v>
      </c>
      <c r="Y14" s="18">
        <v>6664</v>
      </c>
      <c r="Z14" s="18">
        <v>967</v>
      </c>
    </row>
    <row r="15" spans="1:26" x14ac:dyDescent="0.25">
      <c r="A15" s="13" t="s">
        <v>6</v>
      </c>
      <c r="B15" s="15">
        <v>0.19800000000000001</v>
      </c>
      <c r="C15" s="15">
        <v>0.20799999999999999</v>
      </c>
      <c r="D15" s="15">
        <v>0.185</v>
      </c>
      <c r="E15" s="15">
        <v>0.188</v>
      </c>
      <c r="F15" s="15">
        <v>0.186</v>
      </c>
      <c r="G15" s="15">
        <v>0.2</v>
      </c>
      <c r="H15" s="15">
        <v>0.20200000000000001</v>
      </c>
      <c r="I15" s="15">
        <v>0.20699999999999999</v>
      </c>
      <c r="J15" s="15">
        <v>0.20499999999999999</v>
      </c>
      <c r="K15" s="15">
        <v>0.19600000000000001</v>
      </c>
      <c r="L15" s="17">
        <v>0.20799999999999999</v>
      </c>
      <c r="M15" s="17">
        <v>0.102343251076651</v>
      </c>
      <c r="N15" s="17">
        <v>0.25700000000000001</v>
      </c>
      <c r="O15" s="17">
        <v>0.44272474861173644</v>
      </c>
      <c r="P15" s="18">
        <v>18750</v>
      </c>
      <c r="Q15" s="18">
        <v>36267</v>
      </c>
      <c r="R15" s="18">
        <v>23599</v>
      </c>
      <c r="S15" s="19">
        <v>0.214</v>
      </c>
      <c r="T15" s="19">
        <v>0.20699999999999999</v>
      </c>
      <c r="U15" s="19">
        <v>0.20200000000000001</v>
      </c>
      <c r="V15" s="19">
        <v>0.14599999999999999</v>
      </c>
      <c r="W15" s="18">
        <v>27476</v>
      </c>
      <c r="X15" s="18">
        <v>37133</v>
      </c>
      <c r="Y15" s="18">
        <v>9489</v>
      </c>
      <c r="Z15" s="18">
        <v>1675</v>
      </c>
    </row>
    <row r="16" spans="1:26" x14ac:dyDescent="0.25">
      <c r="A16" s="13" t="s">
        <v>7</v>
      </c>
      <c r="B16" s="15">
        <v>0.16500000000000001</v>
      </c>
      <c r="C16" s="15">
        <v>0.16400000000000001</v>
      </c>
      <c r="D16" s="15">
        <v>0.152</v>
      </c>
      <c r="E16" s="15">
        <v>0.154</v>
      </c>
      <c r="F16" s="15">
        <v>0.16700000000000001</v>
      </c>
      <c r="G16" s="15">
        <v>0.155</v>
      </c>
      <c r="H16" s="15">
        <v>0.153</v>
      </c>
      <c r="I16" s="15">
        <v>0.16700000000000001</v>
      </c>
      <c r="J16" s="15">
        <v>0.158</v>
      </c>
      <c r="K16" s="27" t="s">
        <v>10</v>
      </c>
      <c r="L16" s="17">
        <v>0.16800000000000001</v>
      </c>
      <c r="M16" s="17">
        <v>6.7428256830225033E-2</v>
      </c>
      <c r="N16" s="17">
        <v>0.219</v>
      </c>
      <c r="O16" s="17">
        <v>0.41241984152412287</v>
      </c>
      <c r="P16" s="18">
        <v>53889</v>
      </c>
      <c r="Q16" s="18">
        <v>123317</v>
      </c>
      <c r="R16" s="18">
        <v>86244</v>
      </c>
      <c r="S16" s="19">
        <v>0.151</v>
      </c>
      <c r="T16" s="19">
        <v>0.186</v>
      </c>
      <c r="U16" s="19">
        <v>0.193</v>
      </c>
      <c r="V16" s="19">
        <v>0.10100000000000001</v>
      </c>
      <c r="W16" s="18">
        <v>80468</v>
      </c>
      <c r="X16" s="18">
        <v>121276</v>
      </c>
      <c r="Y16" s="18">
        <v>46120</v>
      </c>
      <c r="Z16" s="18">
        <v>11825</v>
      </c>
    </row>
    <row r="17" spans="1:26" x14ac:dyDescent="0.25">
      <c r="A17" s="13" t="s">
        <v>8</v>
      </c>
      <c r="B17" s="15">
        <v>0.14799999999999999</v>
      </c>
      <c r="C17" s="15">
        <v>0.14599999999999999</v>
      </c>
      <c r="D17" s="15">
        <v>0.124</v>
      </c>
      <c r="E17" s="15">
        <v>0.151</v>
      </c>
      <c r="F17" s="15">
        <v>0.13400000000000001</v>
      </c>
      <c r="G17" s="15">
        <v>0.13500000000000001</v>
      </c>
      <c r="H17" s="15">
        <v>0.14099999999999999</v>
      </c>
      <c r="I17" s="15">
        <v>0.13400000000000001</v>
      </c>
      <c r="J17" s="15">
        <v>0.13700000000000001</v>
      </c>
      <c r="K17" s="15">
        <v>0.14799999999999999</v>
      </c>
      <c r="L17" s="17">
        <v>0.13400000000000001</v>
      </c>
      <c r="M17" s="17">
        <v>5.2701499960734012E-2</v>
      </c>
      <c r="N17" s="17">
        <v>0.153</v>
      </c>
      <c r="O17" s="17">
        <v>0.36829500853715325</v>
      </c>
      <c r="P17" s="18">
        <v>8053</v>
      </c>
      <c r="Q17" s="18">
        <v>14875</v>
      </c>
      <c r="R17" s="18">
        <v>16609</v>
      </c>
      <c r="S17" s="19">
        <v>0.11899999999999999</v>
      </c>
      <c r="T17" s="19">
        <v>0.21099999999999999</v>
      </c>
      <c r="U17" s="19">
        <v>8.6999999999999994E-2</v>
      </c>
      <c r="V17" s="19">
        <v>4.2999999999999997E-2</v>
      </c>
      <c r="W17" s="18">
        <v>22916</v>
      </c>
      <c r="X17" s="18">
        <v>14038</v>
      </c>
      <c r="Y17" s="18">
        <v>883</v>
      </c>
      <c r="Z17" s="18">
        <v>730</v>
      </c>
    </row>
    <row r="18" spans="1:26" x14ac:dyDescent="0.25">
      <c r="A18" s="14" t="s">
        <v>9</v>
      </c>
      <c r="B18" s="16">
        <v>9.7000000000000003E-2</v>
      </c>
      <c r="C18" s="16">
        <v>9.4E-2</v>
      </c>
      <c r="D18" s="16">
        <v>9.6000000000000002E-2</v>
      </c>
      <c r="E18" s="16">
        <v>9.7000000000000003E-2</v>
      </c>
      <c r="F18" s="16">
        <v>0.105</v>
      </c>
      <c r="G18" s="16">
        <v>9.8000000000000004E-2</v>
      </c>
      <c r="H18" s="16">
        <v>9.6000000000000002E-2</v>
      </c>
      <c r="I18" s="16">
        <v>0.09</v>
      </c>
      <c r="J18" s="16">
        <v>9.5000000000000001E-2</v>
      </c>
      <c r="K18" s="16">
        <v>9.4E-2</v>
      </c>
      <c r="L18" s="20">
        <v>9.1999999999999998E-2</v>
      </c>
      <c r="M18" s="20">
        <v>3.7268711580638186E-2</v>
      </c>
      <c r="N18" s="20">
        <v>9.5000000000000001E-2</v>
      </c>
      <c r="O18" s="20">
        <v>0.35672577408138489</v>
      </c>
      <c r="P18" s="21">
        <v>45847</v>
      </c>
      <c r="Q18" s="21">
        <v>79962</v>
      </c>
      <c r="R18" s="21">
        <v>86384</v>
      </c>
      <c r="S18" s="22">
        <v>0.11799999999999999</v>
      </c>
      <c r="T18" s="22">
        <v>0.129</v>
      </c>
      <c r="U18" s="22">
        <v>6.6000000000000003E-2</v>
      </c>
      <c r="V18" s="22">
        <v>5.5E-2</v>
      </c>
      <c r="W18" s="21">
        <v>64812</v>
      </c>
      <c r="X18" s="21">
        <v>66258</v>
      </c>
      <c r="Y18" s="21">
        <v>68887</v>
      </c>
      <c r="Z18" s="21">
        <v>9307</v>
      </c>
    </row>
    <row r="19" spans="1:26" x14ac:dyDescent="0.25">
      <c r="L19" s="2"/>
      <c r="M19" s="2"/>
      <c r="N19" s="2"/>
      <c r="O19" s="2"/>
      <c r="P19" s="2"/>
      <c r="Q19" s="2"/>
      <c r="R19" s="2"/>
      <c r="S19" s="2"/>
      <c r="T19" s="2"/>
      <c r="U19" s="2"/>
      <c r="V19" s="2"/>
      <c r="W19" s="2"/>
      <c r="X19" s="2"/>
      <c r="Y19" s="2"/>
      <c r="Z19" s="2"/>
    </row>
    <row r="20" spans="1:26" x14ac:dyDescent="0.25">
      <c r="A20" s="7" t="s">
        <v>23</v>
      </c>
    </row>
    <row r="21" spans="1:26" ht="61.5" customHeight="1" x14ac:dyDescent="0.25">
      <c r="A21" s="45" t="s">
        <v>26</v>
      </c>
      <c r="B21" s="45"/>
      <c r="C21" s="45"/>
      <c r="D21" s="45"/>
      <c r="E21" s="45"/>
      <c r="F21" s="45"/>
    </row>
    <row r="23" spans="1:26" x14ac:dyDescent="0.25">
      <c r="A23" s="7" t="s">
        <v>24</v>
      </c>
    </row>
    <row r="24" spans="1:26" x14ac:dyDescent="0.25">
      <c r="A24" t="s">
        <v>25</v>
      </c>
    </row>
  </sheetData>
  <mergeCells count="1">
    <mergeCell ref="A21:F21"/>
  </mergeCells>
  <hyperlinks>
    <hyperlink ref="A3" r:id="rId1" xr:uid="{DA64C6F1-AA92-49F4-A94F-61535C0076C1}"/>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4A7A9B80050E4088AED2E45C1E735C" ma:contentTypeVersion="2" ma:contentTypeDescription="Create a new document." ma:contentTypeScope="" ma:versionID="2c0e68909d0e2ae511618a109f62ffe7">
  <xsd:schema xmlns:xsd="http://www.w3.org/2001/XMLSchema" xmlns:xs="http://www.w3.org/2001/XMLSchema" xmlns:p="http://schemas.microsoft.com/office/2006/metadata/properties" targetNamespace="http://schemas.microsoft.com/office/2006/metadata/properties" ma:root="true" ma:fieldsID="e14066236cce0545f19be8b25229c64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DEEB09-C9D3-4FD0-BDE7-26BDBADCE96E}">
  <ds:schemaRefs>
    <ds:schemaRef ds:uri="http://schemas.microsoft.com/sharepoint/v3/contenttype/forms"/>
  </ds:schemaRefs>
</ds:datastoreItem>
</file>

<file path=customXml/itemProps2.xml><?xml version="1.0" encoding="utf-8"?>
<ds:datastoreItem xmlns:ds="http://schemas.openxmlformats.org/officeDocument/2006/customXml" ds:itemID="{47FB3ADC-5D9E-45A5-A620-0899608411B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2C8DDC6-A157-4E66-9812-5C9CEDCF7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Population</vt:lpstr>
      <vt:lpstr>Foreign-born</vt:lpstr>
      <vt:lpstr>Median household income</vt:lpstr>
      <vt:lpstr>Poverty</vt:lpstr>
      <vt:lpstr>Deep poverty</vt:lpstr>
      <vt:lpstr>Unemployment</vt:lpstr>
      <vt:lpstr>Labor force participation</vt:lpstr>
      <vt:lpstr>Disability</vt:lpstr>
      <vt:lpstr>College graduates</vt:lpstr>
      <vt:lpstr>Preschool enrollment</vt:lpstr>
      <vt:lpstr>Homeownership</vt:lpstr>
      <vt:lpstr>Housing-cost burdened</vt:lpstr>
      <vt:lpstr>Commute by public transit</vt:lpstr>
      <vt:lpstr>Homicides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Hachadorian</dc:creator>
  <cp:lastModifiedBy>Katie Martin</cp:lastModifiedBy>
  <dcterms:created xsi:type="dcterms:W3CDTF">2019-07-09T13:38:39Z</dcterms:created>
  <dcterms:modified xsi:type="dcterms:W3CDTF">2020-03-05T16:05:27Z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0x010100014A7A9B80050E4088AED2E45C1E735C</vt:lpwstr>
  </property>
</Properties>
</file>